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9"/>
  </bookViews>
  <sheets>
    <sheet name="Altalanos" sheetId="1" r:id="rId1"/>
    <sheet name="Birók" sheetId="2" r:id="rId2"/>
    <sheet name="65elő" sheetId="3" r:id="rId3"/>
    <sheet name="65+" sheetId="4" r:id="rId4"/>
    <sheet name="70elő" sheetId="5" r:id="rId5"/>
    <sheet name="70+" sheetId="6" r:id="rId6"/>
    <sheet name="75elő" sheetId="7" r:id="rId7"/>
    <sheet name="75+" sheetId="8" r:id="rId8"/>
    <sheet name="80elő" sheetId="9" r:id="rId9"/>
    <sheet name="80+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'65elő'!$1:$6</definedName>
    <definedName name="_xlnm.Print_Titles" localSheetId="4">'70elő'!$1:$6</definedName>
    <definedName name="_xlnm.Print_Titles" localSheetId="6">'75elő'!$1:$6</definedName>
    <definedName name="_xlnm.Print_Titles" localSheetId="8">'80elő'!$1:$6</definedName>
    <definedName name="_xlnm.Print_Area" localSheetId="3">'65+'!$A$1:$R$62</definedName>
    <definedName name="_xlnm.Print_Area" localSheetId="2">'65elő'!$A$1:$Q$134</definedName>
    <definedName name="_xlnm.Print_Area" localSheetId="5">'70+'!$A$1:$M$41</definedName>
    <definedName name="_xlnm.Print_Area" localSheetId="4">'70elő'!$A$1:$Q$134</definedName>
    <definedName name="_xlnm.Print_Area" localSheetId="7">'75+'!$A$1:$M$41</definedName>
    <definedName name="_xlnm.Print_Area" localSheetId="6">'75elő'!$A$1:$Q$134</definedName>
    <definedName name="_xlnm.Print_Area" localSheetId="9">'80+'!$A$1:$M$41</definedName>
    <definedName name="_xlnm.Print_Area" localSheetId="8">'80elő'!$A$1:$Q$134</definedName>
    <definedName name="_xlnm.Print_Area" localSheetId="1">'Birók'!$A$1:$N$29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<sst xmlns="http://schemas.openxmlformats.org/spreadsheetml/2006/main" count="566" uniqueCount="205">
  <si>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</si>
  <si>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</si>
  <si>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</si>
  <si>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</si>
  <si>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</si>
  <si>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</si>
  <si>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</si>
  <si>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</si>
  <si>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</si>
  <si>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</si>
  <si>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</si>
  <si>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</si>
  <si>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</si>
  <si>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</si>
  <si>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</si>
  <si>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</si>
  <si>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</si>
  <si>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</si>
  <si>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</si>
  <si>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</si>
  <si>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</si>
  <si>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</si>
  <si>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</si>
  <si>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</si>
  <si>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</si>
  <si>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</si>
  <si>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</si>
  <si>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</si>
  <si>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</si>
  <si>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</si>
  <si>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</si>
  <si>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</si>
  <si>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</si>
  <si>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</si>
  <si>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</si>
  <si>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</si>
  <si>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</si>
  <si>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</si>
  <si>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</si>
  <si>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</si>
  <si>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</si>
  <si>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</si>
  <si>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</si>
  <si>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</si>
  <si>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</si>
  <si>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</si>
  <si>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</si>
  <si>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</si>
  <si>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</si>
  <si>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</si>
  <si>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</si>
  <si>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</si>
  <si>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</si>
  <si>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</si>
  <si>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</si>
  <si>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</si>
  <si>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</si>
  <si>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</si>
  <si>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</si>
  <si>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</si>
  <si>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</si>
  <si>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</si>
  <si>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</si>
  <si>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</si>
  <si>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</si>
  <si>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</si>
  <si>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</si>
  <si>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</si>
  <si>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</si>
  <si>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</si>
  <si>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</si>
  <si>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</si>
  <si>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</si>
  <si>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</si>
  <si>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</si>
  <si>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</si>
  <si>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</si>
  <si>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</si>
  <si>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</si>
  <si>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</si>
  <si>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</si>
  <si>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</si>
  <si>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</si>
  <si>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</si>
  <si>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</si>
  <si>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</si>
  <si>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</si>
  <si>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</si>
  <si>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</si>
  <si>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</si>
  <si>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</si>
  <si>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</si>
  <si>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</si>
  <si>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</si>
  <si>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</si>
  <si>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</si>
  <si>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</si>
  <si>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</si>
  <si>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</si>
  <si>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</si>
  <si>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</si>
  <si>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</si>
  <si>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</si>
  <si>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</si>
  <si>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</si>
  <si>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</si>
  <si>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</si>
  <si>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</si>
  <si>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</si>
  <si>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Budapest Város Szenior Bajnokság</t>
  </si>
  <si>
    <t>2020.07.10-12.</t>
  </si>
  <si>
    <t>Budapest</t>
  </si>
  <si>
    <t>Kádár László</t>
  </si>
  <si>
    <t>BTSZ</t>
  </si>
  <si>
    <t>Miklósi Zsoltné</t>
  </si>
  <si>
    <t xml:space="preserve">Lipták </t>
  </si>
  <si>
    <t>László</t>
  </si>
  <si>
    <t>Fülöp</t>
  </si>
  <si>
    <t>Scherer</t>
  </si>
  <si>
    <t>Ferenc</t>
  </si>
  <si>
    <t>Kovács S</t>
  </si>
  <si>
    <t>Ottó</t>
  </si>
  <si>
    <t>Rakonczay</t>
  </si>
  <si>
    <t>Tibor</t>
  </si>
  <si>
    <t>Bajka</t>
  </si>
  <si>
    <t>Pál</t>
  </si>
  <si>
    <t>Takách</t>
  </si>
  <si>
    <t>Gusztáv</t>
  </si>
  <si>
    <t>540919</t>
  </si>
  <si>
    <t>Antal</t>
  </si>
  <si>
    <t>Péter</t>
  </si>
  <si>
    <t>Somogyi</t>
  </si>
  <si>
    <t>Gábor</t>
  </si>
  <si>
    <t>Váradi</t>
  </si>
  <si>
    <t>Iván</t>
  </si>
  <si>
    <t>510414</t>
  </si>
  <si>
    <t>Lipták László</t>
  </si>
  <si>
    <t>Váradi Iván</t>
  </si>
  <si>
    <t>Takách Gusztáv</t>
  </si>
  <si>
    <t>Bajka Pál</t>
  </si>
  <si>
    <t>Dr. Kondorosi</t>
  </si>
  <si>
    <t>Károly</t>
  </si>
  <si>
    <t>Horváth</t>
  </si>
  <si>
    <t>490503</t>
  </si>
  <si>
    <t>Szentes Tóth</t>
  </si>
  <si>
    <t>István</t>
  </si>
  <si>
    <t>501209</t>
  </si>
  <si>
    <t>Román</t>
  </si>
  <si>
    <t>Molnár</t>
  </si>
  <si>
    <t>Pohly</t>
  </si>
  <si>
    <t>Kamerda</t>
  </si>
  <si>
    <t>Szalai</t>
  </si>
  <si>
    <t>Miklós</t>
  </si>
  <si>
    <t>Varannai</t>
  </si>
  <si>
    <t>Csaba</t>
  </si>
  <si>
    <t>441204</t>
  </si>
  <si>
    <t>Fe65+</t>
  </si>
  <si>
    <t>Fe70+</t>
  </si>
  <si>
    <t>Fe75+</t>
  </si>
  <si>
    <t>Fe80+</t>
  </si>
  <si>
    <t>Csorba</t>
  </si>
  <si>
    <t>Zoltán</t>
  </si>
  <si>
    <t>400503</t>
  </si>
  <si>
    <t xml:space="preserve">Pajor </t>
  </si>
  <si>
    <t>380811</t>
  </si>
  <si>
    <t>Vitkay</t>
  </si>
  <si>
    <t>a</t>
  </si>
  <si>
    <t>jn</t>
  </si>
  <si>
    <t>6/4 6/2</t>
  </si>
  <si>
    <t>6/1 6/1</t>
  </si>
  <si>
    <t>Lipták</t>
  </si>
  <si>
    <t>6/0 6/0</t>
  </si>
  <si>
    <t>b</t>
  </si>
  <si>
    <t>6/0 6/1</t>
  </si>
  <si>
    <t>2/8</t>
  </si>
  <si>
    <t>6/8</t>
  </si>
  <si>
    <t>7/9</t>
  </si>
  <si>
    <t>8/3</t>
  </si>
  <si>
    <t>9/7</t>
  </si>
  <si>
    <t>8/1</t>
  </si>
  <si>
    <t>jn nyert</t>
  </si>
  <si>
    <t>8/2</t>
  </si>
  <si>
    <t>1/8</t>
  </si>
  <si>
    <t>8/6</t>
  </si>
  <si>
    <t>3/8</t>
  </si>
  <si>
    <t>jn veszt</t>
  </si>
  <si>
    <t>8/9</t>
  </si>
  <si>
    <t>9/8</t>
  </si>
  <si>
    <t>5/8</t>
  </si>
  <si>
    <t>8/4</t>
  </si>
  <si>
    <t>8/5</t>
  </si>
  <si>
    <t>4/8</t>
  </si>
  <si>
    <t>6/2 6/0</t>
  </si>
  <si>
    <t>0/8</t>
  </si>
  <si>
    <t>8/0</t>
  </si>
  <si>
    <t>6/2 6/3</t>
  </si>
  <si>
    <t>550913</t>
  </si>
  <si>
    <t>540409</t>
  </si>
  <si>
    <t>pontszám</t>
  </si>
  <si>
    <t>40 pont</t>
  </si>
  <si>
    <t>IV.</t>
  </si>
  <si>
    <t>III.</t>
  </si>
  <si>
    <t>I.</t>
  </si>
  <si>
    <t>II.</t>
  </si>
  <si>
    <t>V.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</si>
</sst>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42" fillId="38" borderId="32" xfId="0" applyFont="1" applyFill="1" applyBorder="1" applyAlignment="1">
      <alignment horizontal="right" vertical="center"/>
    </xf>
    <xf numFmtId="0" fontId="42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2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38" fillId="37" borderId="0" xfId="0" applyFont="1" applyFill="1" applyBorder="1" applyAlignment="1">
      <alignment horizontal="center" vertical="center" shrinkToFit="1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0" fillId="37" borderId="27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0" xfId="0" applyFont="1" applyFill="1" applyAlignment="1">
      <alignment horizontal="center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27" xfId="0" applyFont="1" applyFill="1" applyBorder="1" applyAlignment="1">
      <alignment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3" fillId="37" borderId="16" xfId="0" applyFont="1" applyFill="1" applyBorder="1" applyAlignment="1">
      <alignment horizontal="center" vertical="center"/>
    </xf>
    <xf numFmtId="49" fontId="40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7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4" fillId="37" borderId="0" xfId="0" applyNumberFormat="1" applyFont="1" applyFill="1" applyAlignment="1">
      <alignment vertical="center"/>
    </xf>
    <xf numFmtId="49" fontId="34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34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0" fillId="37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39" borderId="0" xfId="0" applyFont="1" applyFill="1" applyAlignment="1">
      <alignment/>
    </xf>
    <xf numFmtId="0" fontId="49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50" fillId="37" borderId="16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0" fillId="37" borderId="0" xfId="0" applyFont="1" applyFill="1" applyAlignment="1">
      <alignment horizontal="right" vertical="center"/>
    </xf>
    <xf numFmtId="0" fontId="33" fillId="43" borderId="24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38" fillId="43" borderId="0" xfId="0" applyFont="1" applyFill="1" applyAlignment="1">
      <alignment vertical="center"/>
    </xf>
    <xf numFmtId="49" fontId="44" fillId="43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3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191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37" fillId="37" borderId="0" xfId="0" applyFont="1" applyFill="1" applyAlignment="1">
      <alignment vertical="center"/>
    </xf>
    <xf numFmtId="49" fontId="0" fillId="37" borderId="0" xfId="0" applyNumberFormat="1" applyFill="1" applyAlignment="1">
      <alignment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44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7" borderId="16" xfId="0" applyFont="1" applyFill="1" applyBorder="1" applyAlignment="1">
      <alignment vertical="center" shrinkToFit="1"/>
    </xf>
    <xf numFmtId="49" fontId="10" fillId="37" borderId="0" xfId="0" applyNumberFormat="1" applyFont="1" applyFill="1" applyAlignment="1">
      <alignment vertical="top" shrinkToFit="1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right" vertical="center" shrinkToFit="1"/>
    </xf>
    <xf numFmtId="0" fontId="91" fillId="33" borderId="0" xfId="0" applyNumberFormat="1" applyFont="1" applyFill="1" applyAlignment="1">
      <alignment horizontal="center" vertical="center"/>
    </xf>
    <xf numFmtId="0" fontId="92" fillId="37" borderId="16" xfId="0" applyFont="1" applyFill="1" applyBorder="1" applyAlignment="1">
      <alignment horizontal="center" vertical="center"/>
    </xf>
    <xf numFmtId="0" fontId="92" fillId="37" borderId="0" xfId="0" applyFont="1" applyFill="1" applyBorder="1" applyAlignment="1">
      <alignment horizontal="center" vertical="center"/>
    </xf>
    <xf numFmtId="0" fontId="92" fillId="37" borderId="0" xfId="0" applyFont="1" applyFill="1" applyAlignment="1">
      <alignment vertical="center"/>
    </xf>
    <xf numFmtId="0" fontId="92" fillId="37" borderId="0" xfId="0" applyFont="1" applyFill="1" applyAlignment="1">
      <alignment horizontal="center" vertical="center"/>
    </xf>
    <xf numFmtId="0" fontId="0" fillId="39" borderId="16" xfId="0" applyFont="1" applyFill="1" applyBorder="1" applyAlignment="1">
      <alignment horizontal="center"/>
    </xf>
    <xf numFmtId="0" fontId="93" fillId="45" borderId="45" xfId="0" applyNumberFormat="1" applyFont="1" applyFill="1" applyBorder="1" applyAlignment="1">
      <alignment horizontal="center"/>
    </xf>
    <xf numFmtId="0" fontId="93" fillId="37" borderId="0" xfId="0" applyFont="1" applyFill="1" applyAlignment="1">
      <alignment horizontal="center"/>
    </xf>
    <xf numFmtId="0" fontId="93" fillId="37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8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28575</xdr:rowOff>
    </xdr:from>
    <xdr:to>
      <xdr:col>17</xdr:col>
      <xdr:colOff>57150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485775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9">
      <selection activeCell="D14" sqref="D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102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3"/>
      <c r="F5" s="22"/>
      <c r="G5" s="23"/>
    </row>
    <row r="6" spans="1:7" s="2" customFormat="1" ht="26.25">
      <c r="A6" s="410" t="s">
        <v>109</v>
      </c>
      <c r="B6" s="374"/>
      <c r="C6" s="24"/>
      <c r="D6" s="25"/>
      <c r="E6" s="26"/>
      <c r="F6" s="5"/>
      <c r="G6" s="5"/>
    </row>
    <row r="7" spans="1:7" s="18" customFormat="1" ht="15" customHeight="1">
      <c r="A7" s="357" t="s">
        <v>103</v>
      </c>
      <c r="B7" s="357" t="s">
        <v>104</v>
      </c>
      <c r="C7" s="357" t="s">
        <v>105</v>
      </c>
      <c r="D7" s="357" t="s">
        <v>106</v>
      </c>
      <c r="E7" s="357" t="s">
        <v>107</v>
      </c>
      <c r="F7" s="22"/>
      <c r="G7" s="23"/>
    </row>
    <row r="8" spans="1:7" s="2" customFormat="1" ht="16.5" customHeight="1">
      <c r="A8" s="221" t="s">
        <v>156</v>
      </c>
      <c r="B8" s="221" t="s">
        <v>157</v>
      </c>
      <c r="C8" s="221" t="s">
        <v>158</v>
      </c>
      <c r="D8" s="221" t="s">
        <v>159</v>
      </c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 t="s">
        <v>110</v>
      </c>
      <c r="B10" s="30"/>
      <c r="C10" s="31" t="s">
        <v>111</v>
      </c>
      <c r="D10" s="198" t="s">
        <v>63</v>
      </c>
      <c r="E10" s="362" t="s">
        <v>112</v>
      </c>
      <c r="F10" s="5"/>
      <c r="G10" s="5"/>
    </row>
    <row r="11" spans="1:7" ht="12.75">
      <c r="A11" s="20"/>
      <c r="B11" s="21"/>
      <c r="C11" s="215" t="s">
        <v>61</v>
      </c>
      <c r="D11" s="215" t="s">
        <v>99</v>
      </c>
      <c r="E11" s="215" t="s">
        <v>100</v>
      </c>
      <c r="F11" s="33"/>
      <c r="G11" s="33"/>
    </row>
    <row r="12" spans="1:7" s="2" customFormat="1" ht="12.75">
      <c r="A12" s="168"/>
      <c r="B12" s="5"/>
      <c r="C12" s="222"/>
      <c r="D12" s="222" t="s">
        <v>113</v>
      </c>
      <c r="E12" s="222" t="s">
        <v>114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6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58" hidden="1" customWidth="1"/>
    <col min="26" max="37" width="0" style="358" hidden="1" customWidth="1"/>
  </cols>
  <sheetData>
    <row r="1" spans="1:37" ht="26.25">
      <c r="A1" s="450" t="str">
        <f>Altalanos!$A$6</f>
        <v>Budapest Város Szenior Bajnokság</v>
      </c>
      <c r="B1" s="450"/>
      <c r="C1" s="450"/>
      <c r="D1" s="450"/>
      <c r="E1" s="450"/>
      <c r="F1" s="450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Y1"/>
      <c r="Z1"/>
      <c r="AA1"/>
      <c r="AB1" s="365" t="e">
        <f>IF(Y5=1,CONCATENATE(VLOOKUP(Y3,AA16:AH27,2)),CONCATENATE(VLOOKUP(Y3,AA2:AK13,2)))</f>
        <v>#N/A</v>
      </c>
      <c r="AC1" s="365" t="e">
        <f>IF(Y5=1,CONCATENATE(VLOOKUP(Y3,AA16:AK27,3)),CONCATENATE(VLOOKUP(Y3,AA2:AK13,3)))</f>
        <v>#N/A</v>
      </c>
      <c r="AD1" s="365" t="e">
        <f>IF(Y5=1,CONCATENATE(VLOOKUP(Y3,AA16:AK27,4)),CONCATENATE(VLOOKUP(Y3,AA2:AK13,4)))</f>
        <v>#N/A</v>
      </c>
      <c r="AE1" s="365" t="e">
        <f>IF(Y5=1,CONCATENATE(VLOOKUP(Y3,AA16:AK27,5)),CONCATENATE(VLOOKUP(Y3,AA2:AK13,5)))</f>
        <v>#N/A</v>
      </c>
      <c r="AF1" s="365" t="e">
        <f>IF(Y5=1,CONCATENATE(VLOOKUP(Y3,AA16:AK27,6)),CONCATENATE(VLOOKUP(Y3,AA2:AK13,6)))</f>
        <v>#N/A</v>
      </c>
      <c r="AG1" s="365" t="e">
        <f>IF(Y5=1,CONCATENATE(VLOOKUP(Y3,AA16:AK27,7)),CONCATENATE(VLOOKUP(Y3,AA2:AK13,7)))</f>
        <v>#N/A</v>
      </c>
      <c r="AH1" s="365" t="e">
        <f>IF(Y5=1,CONCATENATE(VLOOKUP(Y3,AA16:AK27,8)),CONCATENATE(VLOOKUP(Y3,AA2:AK13,8)))</f>
        <v>#N/A</v>
      </c>
      <c r="AI1" s="365" t="e">
        <f>IF(Y5=1,CONCATENATE(VLOOKUP(Y3,AA16:AK27,9)),CONCATENATE(VLOOKUP(Y3,AA2:AK13,9)))</f>
        <v>#N/A</v>
      </c>
      <c r="AJ1" s="365" t="e">
        <f>IF(Y5=1,CONCATENATE(VLOOKUP(Y3,AA16:AK27,10)),CONCATENATE(VLOOKUP(Y3,AA2:AK13,10)))</f>
        <v>#N/A</v>
      </c>
      <c r="AK1" s="365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09" t="str">
        <f>Altalanos!$D$8</f>
        <v>Fe80+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60"/>
      <c r="Z2" s="359"/>
      <c r="AA2" s="359" t="s">
        <v>64</v>
      </c>
      <c r="AB2" s="363">
        <v>150</v>
      </c>
      <c r="AC2" s="363">
        <v>120</v>
      </c>
      <c r="AD2" s="363">
        <v>100</v>
      </c>
      <c r="AE2" s="363">
        <v>80</v>
      </c>
      <c r="AF2" s="363">
        <v>70</v>
      </c>
      <c r="AG2" s="363">
        <v>60</v>
      </c>
      <c r="AH2" s="363">
        <v>55</v>
      </c>
      <c r="AI2" s="363">
        <v>50</v>
      </c>
      <c r="AJ2" s="363">
        <v>45</v>
      </c>
      <c r="AK2" s="363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08"/>
      <c r="O3" s="307"/>
      <c r="P3" s="308"/>
      <c r="Q3" s="350" t="s">
        <v>73</v>
      </c>
      <c r="R3" s="351" t="s">
        <v>79</v>
      </c>
      <c r="S3" s="304"/>
      <c r="Y3" s="359">
        <f>IF(H4="OB","A",IF(H4="IX","W",H4))</f>
        <v>0</v>
      </c>
      <c r="Z3" s="359"/>
      <c r="AA3" s="359" t="s">
        <v>89</v>
      </c>
      <c r="AB3" s="363">
        <v>120</v>
      </c>
      <c r="AC3" s="363">
        <v>90</v>
      </c>
      <c r="AD3" s="363">
        <v>65</v>
      </c>
      <c r="AE3" s="363">
        <v>55</v>
      </c>
      <c r="AF3" s="363">
        <v>50</v>
      </c>
      <c r="AG3" s="363">
        <v>45</v>
      </c>
      <c r="AH3" s="363">
        <v>40</v>
      </c>
      <c r="AI3" s="363">
        <v>35</v>
      </c>
      <c r="AJ3" s="363">
        <v>25</v>
      </c>
      <c r="AK3" s="363">
        <v>20</v>
      </c>
    </row>
    <row r="4" spans="1:37" ht="13.5" thickBot="1">
      <c r="A4" s="439" t="str">
        <f>Altalanos!$A$10</f>
        <v>2020.07.10-12.</v>
      </c>
      <c r="B4" s="439"/>
      <c r="C4" s="439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Kádár László</v>
      </c>
      <c r="M4" s="240"/>
      <c r="N4" s="310"/>
      <c r="O4" s="311"/>
      <c r="P4" s="310"/>
      <c r="Q4" s="352" t="s">
        <v>80</v>
      </c>
      <c r="R4" s="353" t="s">
        <v>75</v>
      </c>
      <c r="S4" s="304"/>
      <c r="Y4" s="359"/>
      <c r="Z4" s="359"/>
      <c r="AA4" s="359" t="s">
        <v>90</v>
      </c>
      <c r="AB4" s="363">
        <v>90</v>
      </c>
      <c r="AC4" s="363">
        <v>60</v>
      </c>
      <c r="AD4" s="363">
        <v>45</v>
      </c>
      <c r="AE4" s="363">
        <v>34</v>
      </c>
      <c r="AF4" s="363">
        <v>27</v>
      </c>
      <c r="AG4" s="363">
        <v>22</v>
      </c>
      <c r="AH4" s="363">
        <v>18</v>
      </c>
      <c r="AI4" s="363">
        <v>15</v>
      </c>
      <c r="AJ4" s="363">
        <v>12</v>
      </c>
      <c r="AK4" s="363">
        <v>9</v>
      </c>
    </row>
    <row r="5" spans="1:37" ht="12.75">
      <c r="A5" s="33"/>
      <c r="B5" s="33" t="s">
        <v>49</v>
      </c>
      <c r="C5" s="297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2" t="s">
        <v>68</v>
      </c>
      <c r="L5" s="342" t="s">
        <v>69</v>
      </c>
      <c r="M5" s="342" t="s">
        <v>70</v>
      </c>
      <c r="N5" s="304"/>
      <c r="O5" s="304"/>
      <c r="P5" s="304"/>
      <c r="Q5" s="354" t="s">
        <v>81</v>
      </c>
      <c r="R5" s="355" t="s">
        <v>77</v>
      </c>
      <c r="S5" s="304"/>
      <c r="Y5" s="359">
        <f>IF(OR(Altalanos!$A$8="F1",Altalanos!$A$8="F2",Altalanos!$A$8="N1",Altalanos!$A$8="N2"),1,2)</f>
        <v>2</v>
      </c>
      <c r="Z5" s="359"/>
      <c r="AA5" s="359" t="s">
        <v>91</v>
      </c>
      <c r="AB5" s="363">
        <v>60</v>
      </c>
      <c r="AC5" s="363">
        <v>40</v>
      </c>
      <c r="AD5" s="363">
        <v>30</v>
      </c>
      <c r="AE5" s="363">
        <v>20</v>
      </c>
      <c r="AF5" s="363">
        <v>18</v>
      </c>
      <c r="AG5" s="363">
        <v>15</v>
      </c>
      <c r="AH5" s="363">
        <v>12</v>
      </c>
      <c r="AI5" s="363">
        <v>10</v>
      </c>
      <c r="AJ5" s="363">
        <v>8</v>
      </c>
      <c r="AK5" s="363">
        <v>6</v>
      </c>
    </row>
    <row r="6" spans="1:37" ht="12.75">
      <c r="A6" s="274"/>
      <c r="B6" s="274"/>
      <c r="C6" s="341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304"/>
      <c r="O6" s="304"/>
      <c r="P6" s="304"/>
      <c r="Q6" s="304"/>
      <c r="R6" s="304"/>
      <c r="S6" s="304"/>
      <c r="Y6" s="359"/>
      <c r="Z6" s="359"/>
      <c r="AA6" s="359" t="s">
        <v>92</v>
      </c>
      <c r="AB6" s="363">
        <v>40</v>
      </c>
      <c r="AC6" s="363">
        <v>25</v>
      </c>
      <c r="AD6" s="363">
        <v>18</v>
      </c>
      <c r="AE6" s="363">
        <v>13</v>
      </c>
      <c r="AF6" s="363">
        <v>10</v>
      </c>
      <c r="AG6" s="363">
        <v>8</v>
      </c>
      <c r="AH6" s="363">
        <v>6</v>
      </c>
      <c r="AI6" s="363">
        <v>5</v>
      </c>
      <c r="AJ6" s="363">
        <v>4</v>
      </c>
      <c r="AK6" s="363">
        <v>3</v>
      </c>
    </row>
    <row r="7" spans="1:37" ht="12.75">
      <c r="A7" s="312" t="s">
        <v>64</v>
      </c>
      <c r="B7" s="343">
        <v>1</v>
      </c>
      <c r="C7" s="298">
        <f>IF($B7="","",VLOOKUP($B7,'80elő'!$A$7:$O$22,5))</f>
        <v>400909</v>
      </c>
      <c r="D7" s="298">
        <f>IF($B7="","",VLOOKUP($B7,'80elő'!$A$7:$O$22,15))</f>
        <v>0</v>
      </c>
      <c r="E7" s="294" t="str">
        <f>UPPER(IF($B7="","",VLOOKUP($B7,'80elő'!$A$7:$O$22,2)))</f>
        <v>CSORBA</v>
      </c>
      <c r="F7" s="299"/>
      <c r="G7" s="294" t="str">
        <f>IF($B7="","",VLOOKUP($B7,'80elő'!$A$7:$O$22,3))</f>
        <v>Zoltán</v>
      </c>
      <c r="H7" s="299"/>
      <c r="I7" s="294">
        <f>IF($B7="","",VLOOKUP($B7,'80elő'!$A$7:$O$22,4))</f>
        <v>0</v>
      </c>
      <c r="J7" s="274"/>
      <c r="K7" s="458" t="s">
        <v>203</v>
      </c>
      <c r="L7" s="459">
        <v>140</v>
      </c>
      <c r="M7" s="366"/>
      <c r="N7" s="304"/>
      <c r="O7" s="304"/>
      <c r="P7" s="304"/>
      <c r="Q7" s="304"/>
      <c r="R7" s="304"/>
      <c r="S7" s="304"/>
      <c r="Y7" s="359"/>
      <c r="Z7" s="359"/>
      <c r="AA7" s="359" t="s">
        <v>93</v>
      </c>
      <c r="AB7" s="363">
        <v>25</v>
      </c>
      <c r="AC7" s="363">
        <v>15</v>
      </c>
      <c r="AD7" s="363">
        <v>13</v>
      </c>
      <c r="AE7" s="363">
        <v>8</v>
      </c>
      <c r="AF7" s="363">
        <v>6</v>
      </c>
      <c r="AG7" s="363">
        <v>4</v>
      </c>
      <c r="AH7" s="363">
        <v>3</v>
      </c>
      <c r="AI7" s="363">
        <v>2</v>
      </c>
      <c r="AJ7" s="363">
        <v>1</v>
      </c>
      <c r="AK7" s="363">
        <v>0</v>
      </c>
    </row>
    <row r="8" spans="1:37" ht="12.75">
      <c r="A8" s="312"/>
      <c r="B8" s="344"/>
      <c r="C8" s="313"/>
      <c r="D8" s="313"/>
      <c r="E8" s="313"/>
      <c r="F8" s="313"/>
      <c r="G8" s="313"/>
      <c r="H8" s="313"/>
      <c r="I8" s="313"/>
      <c r="J8" s="274"/>
      <c r="K8" s="312"/>
      <c r="L8" s="460"/>
      <c r="M8" s="367"/>
      <c r="N8" s="304"/>
      <c r="O8" s="304"/>
      <c r="P8" s="304"/>
      <c r="Q8" s="304"/>
      <c r="R8" s="304"/>
      <c r="S8" s="304"/>
      <c r="Y8" s="359"/>
      <c r="Z8" s="359"/>
      <c r="AA8" s="359" t="s">
        <v>94</v>
      </c>
      <c r="AB8" s="363">
        <v>15</v>
      </c>
      <c r="AC8" s="363">
        <v>10</v>
      </c>
      <c r="AD8" s="363">
        <v>7</v>
      </c>
      <c r="AE8" s="363">
        <v>5</v>
      </c>
      <c r="AF8" s="363">
        <v>4</v>
      </c>
      <c r="AG8" s="363">
        <v>3</v>
      </c>
      <c r="AH8" s="363">
        <v>2</v>
      </c>
      <c r="AI8" s="363">
        <v>1</v>
      </c>
      <c r="AJ8" s="363">
        <v>0</v>
      </c>
      <c r="AK8" s="363">
        <v>0</v>
      </c>
    </row>
    <row r="9" spans="1:37" ht="12.75">
      <c r="A9" s="312" t="s">
        <v>65</v>
      </c>
      <c r="B9" s="343">
        <v>2</v>
      </c>
      <c r="C9" s="298" t="str">
        <f>IF($B9="","",VLOOKUP($B9,'80elő'!$A$7:$O$22,5))</f>
        <v>400503</v>
      </c>
      <c r="D9" s="298">
        <f>IF($B9="","",VLOOKUP($B9,'80elő'!$A$7:$O$22,15))</f>
        <v>0</v>
      </c>
      <c r="E9" s="294" t="str">
        <f>UPPER(IF($B9="","",VLOOKUP($B9,'80elő'!$A$7:$O$22,2)))</f>
        <v>VITKAY</v>
      </c>
      <c r="F9" s="299"/>
      <c r="G9" s="294" t="str">
        <f>IF($B9="","",VLOOKUP($B9,'80elő'!$A$7:$O$22,3))</f>
        <v>László</v>
      </c>
      <c r="H9" s="299"/>
      <c r="I9" s="294">
        <f>IF($B9="","",VLOOKUP($B9,'80elő'!$A$7:$O$22,4))</f>
        <v>0</v>
      </c>
      <c r="J9" s="274"/>
      <c r="K9" s="458" t="s">
        <v>202</v>
      </c>
      <c r="L9" s="459">
        <v>200</v>
      </c>
      <c r="M9" s="366"/>
      <c r="N9" s="304"/>
      <c r="O9" s="304"/>
      <c r="P9" s="304"/>
      <c r="Q9" s="304"/>
      <c r="R9" s="304"/>
      <c r="S9" s="304"/>
      <c r="Y9" s="359"/>
      <c r="Z9" s="359"/>
      <c r="AA9" s="359" t="s">
        <v>95</v>
      </c>
      <c r="AB9" s="363">
        <v>10</v>
      </c>
      <c r="AC9" s="363">
        <v>6</v>
      </c>
      <c r="AD9" s="363">
        <v>4</v>
      </c>
      <c r="AE9" s="363">
        <v>2</v>
      </c>
      <c r="AF9" s="363">
        <v>1</v>
      </c>
      <c r="AG9" s="363">
        <v>0</v>
      </c>
      <c r="AH9" s="363">
        <v>0</v>
      </c>
      <c r="AI9" s="363">
        <v>0</v>
      </c>
      <c r="AJ9" s="363">
        <v>0</v>
      </c>
      <c r="AK9" s="363">
        <v>0</v>
      </c>
    </row>
    <row r="10" spans="1:37" ht="12.75">
      <c r="A10" s="312"/>
      <c r="B10" s="344"/>
      <c r="C10" s="313"/>
      <c r="D10" s="313"/>
      <c r="E10" s="313"/>
      <c r="F10" s="313"/>
      <c r="G10" s="313"/>
      <c r="H10" s="313"/>
      <c r="I10" s="313"/>
      <c r="J10" s="274"/>
      <c r="K10" s="312"/>
      <c r="L10" s="460"/>
      <c r="M10" s="367"/>
      <c r="N10" s="304"/>
      <c r="O10" s="304"/>
      <c r="P10" s="304"/>
      <c r="Q10" s="304"/>
      <c r="R10" s="304"/>
      <c r="S10" s="304"/>
      <c r="Y10" s="359"/>
      <c r="Z10" s="359"/>
      <c r="AA10" s="359" t="s">
        <v>96</v>
      </c>
      <c r="AB10" s="363">
        <v>6</v>
      </c>
      <c r="AC10" s="363">
        <v>3</v>
      </c>
      <c r="AD10" s="363">
        <v>2</v>
      </c>
      <c r="AE10" s="363">
        <v>1</v>
      </c>
      <c r="AF10" s="363">
        <v>0</v>
      </c>
      <c r="AG10" s="363">
        <v>0</v>
      </c>
      <c r="AH10" s="363">
        <v>0</v>
      </c>
      <c r="AI10" s="363">
        <v>0</v>
      </c>
      <c r="AJ10" s="363">
        <v>0</v>
      </c>
      <c r="AK10" s="363">
        <v>0</v>
      </c>
    </row>
    <row r="11" spans="1:37" ht="12.75">
      <c r="A11" s="312" t="s">
        <v>66</v>
      </c>
      <c r="B11" s="343">
        <v>3</v>
      </c>
      <c r="C11" s="298" t="str">
        <f>IF($B11="","",VLOOKUP($B11,'80elő'!$A$7:$O$22,5))</f>
        <v>380811</v>
      </c>
      <c r="D11" s="298">
        <f>IF($B11="","",VLOOKUP($B11,'80elő'!$A$7:$O$22,15))</f>
        <v>0</v>
      </c>
      <c r="E11" s="294" t="str">
        <f>UPPER(IF($B11="","",VLOOKUP($B11,'80elő'!$A$7:$O$22,2)))</f>
        <v>PAJOR </v>
      </c>
      <c r="F11" s="299"/>
      <c r="G11" s="294" t="str">
        <f>IF($B11="","",VLOOKUP($B11,'80elő'!$A$7:$O$22,3))</f>
        <v>István</v>
      </c>
      <c r="H11" s="299"/>
      <c r="I11" s="294">
        <f>IF($B11="","",VLOOKUP($B11,'80elő'!$A$7:$O$22,4))</f>
        <v>0</v>
      </c>
      <c r="J11" s="274"/>
      <c r="K11" s="458" t="s">
        <v>201</v>
      </c>
      <c r="L11" s="459">
        <v>90</v>
      </c>
      <c r="M11" s="366"/>
      <c r="N11" s="304"/>
      <c r="O11" s="304"/>
      <c r="P11" s="304"/>
      <c r="Q11" s="304"/>
      <c r="R11" s="304"/>
      <c r="S11" s="304"/>
      <c r="Y11" s="359"/>
      <c r="Z11" s="359"/>
      <c r="AA11" s="359" t="s">
        <v>101</v>
      </c>
      <c r="AB11" s="363">
        <v>3</v>
      </c>
      <c r="AC11" s="363">
        <v>2</v>
      </c>
      <c r="AD11" s="363">
        <v>1</v>
      </c>
      <c r="AE11" s="363">
        <v>0</v>
      </c>
      <c r="AF11" s="363">
        <v>0</v>
      </c>
      <c r="AG11" s="363">
        <v>0</v>
      </c>
      <c r="AH11" s="363">
        <v>0</v>
      </c>
      <c r="AI11" s="363">
        <v>0</v>
      </c>
      <c r="AJ11" s="363">
        <v>0</v>
      </c>
      <c r="AK11" s="363">
        <v>0</v>
      </c>
    </row>
    <row r="12" spans="1:37" ht="12.7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Y12" s="359"/>
      <c r="Z12" s="359"/>
      <c r="AA12" s="359" t="s">
        <v>97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</row>
    <row r="13" spans="1:37" ht="12.7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Y13" s="359"/>
      <c r="Z13" s="359"/>
      <c r="AA13" s="359" t="s">
        <v>98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</row>
    <row r="14" spans="1:37" ht="12.7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</row>
    <row r="15" spans="1:37" ht="12.75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</row>
    <row r="16" spans="1:37" ht="12.75">
      <c r="A16" s="274"/>
      <c r="B16" s="437"/>
      <c r="C16" s="437"/>
      <c r="D16" s="437"/>
      <c r="E16" s="437"/>
      <c r="F16" s="437"/>
      <c r="G16" s="437"/>
      <c r="H16" s="437"/>
      <c r="I16" s="437"/>
      <c r="J16" s="274"/>
      <c r="K16" s="274"/>
      <c r="L16" s="274"/>
      <c r="M16" s="274"/>
      <c r="Y16" s="359"/>
      <c r="Z16" s="359"/>
      <c r="AA16" s="359" t="s">
        <v>64</v>
      </c>
      <c r="AB16" s="359">
        <v>300</v>
      </c>
      <c r="AC16" s="359">
        <v>250</v>
      </c>
      <c r="AD16" s="359">
        <v>220</v>
      </c>
      <c r="AE16" s="359">
        <v>180</v>
      </c>
      <c r="AF16" s="359">
        <v>160</v>
      </c>
      <c r="AG16" s="359">
        <v>150</v>
      </c>
      <c r="AH16" s="359">
        <v>140</v>
      </c>
      <c r="AI16" s="359">
        <v>130</v>
      </c>
      <c r="AJ16" s="359">
        <v>120</v>
      </c>
      <c r="AK16" s="359">
        <v>110</v>
      </c>
    </row>
    <row r="17" spans="1:37" ht="12.75">
      <c r="A17" s="274"/>
      <c r="B17" s="437"/>
      <c r="C17" s="437"/>
      <c r="D17" s="437"/>
      <c r="E17" s="437"/>
      <c r="F17" s="437"/>
      <c r="G17" s="437"/>
      <c r="H17" s="437"/>
      <c r="I17" s="437"/>
      <c r="J17" s="274"/>
      <c r="K17" s="274"/>
      <c r="L17" s="274"/>
      <c r="M17" s="274"/>
      <c r="Y17" s="359"/>
      <c r="Z17" s="359"/>
      <c r="AA17" s="359" t="s">
        <v>89</v>
      </c>
      <c r="AB17" s="359">
        <v>250</v>
      </c>
      <c r="AC17" s="359">
        <v>200</v>
      </c>
      <c r="AD17" s="359">
        <v>160</v>
      </c>
      <c r="AE17" s="359">
        <v>140</v>
      </c>
      <c r="AF17" s="359">
        <v>120</v>
      </c>
      <c r="AG17" s="359">
        <v>110</v>
      </c>
      <c r="AH17" s="359">
        <v>100</v>
      </c>
      <c r="AI17" s="359">
        <v>90</v>
      </c>
      <c r="AJ17" s="359">
        <v>80</v>
      </c>
      <c r="AK17" s="359">
        <v>70</v>
      </c>
    </row>
    <row r="18" spans="1:37" ht="18.75" customHeight="1">
      <c r="A18" s="274"/>
      <c r="B18" s="451"/>
      <c r="C18" s="451"/>
      <c r="D18" s="446" t="str">
        <f>E7</f>
        <v>CSORBA</v>
      </c>
      <c r="E18" s="446"/>
      <c r="F18" s="446" t="str">
        <f>E9</f>
        <v>VITKAY</v>
      </c>
      <c r="G18" s="446"/>
      <c r="H18" s="446" t="str">
        <f>E11</f>
        <v>PAJOR </v>
      </c>
      <c r="I18" s="446"/>
      <c r="J18" s="274"/>
      <c r="K18" s="274"/>
      <c r="L18" s="274"/>
      <c r="M18" s="274"/>
      <c r="Y18" s="359"/>
      <c r="Z18" s="359"/>
      <c r="AA18" s="359" t="s">
        <v>90</v>
      </c>
      <c r="AB18" s="359">
        <v>200</v>
      </c>
      <c r="AC18" s="359">
        <v>150</v>
      </c>
      <c r="AD18" s="359">
        <v>130</v>
      </c>
      <c r="AE18" s="359">
        <v>110</v>
      </c>
      <c r="AF18" s="359">
        <v>95</v>
      </c>
      <c r="AG18" s="359">
        <v>80</v>
      </c>
      <c r="AH18" s="359">
        <v>70</v>
      </c>
      <c r="AI18" s="359">
        <v>60</v>
      </c>
      <c r="AJ18" s="359">
        <v>55</v>
      </c>
      <c r="AK18" s="359">
        <v>50</v>
      </c>
    </row>
    <row r="19" spans="1:37" ht="18.75" customHeight="1">
      <c r="A19" s="348" t="s">
        <v>64</v>
      </c>
      <c r="B19" s="452" t="str">
        <f>E7</f>
        <v>CSORBA</v>
      </c>
      <c r="C19" s="452"/>
      <c r="D19" s="447"/>
      <c r="E19" s="447"/>
      <c r="F19" s="443" t="s">
        <v>188</v>
      </c>
      <c r="G19" s="444"/>
      <c r="H19" s="443" t="s">
        <v>189</v>
      </c>
      <c r="I19" s="444"/>
      <c r="J19" s="274"/>
      <c r="K19" s="274"/>
      <c r="L19" s="274"/>
      <c r="M19" s="274"/>
      <c r="Y19" s="359"/>
      <c r="Z19" s="359"/>
      <c r="AA19" s="359" t="s">
        <v>91</v>
      </c>
      <c r="AB19" s="359">
        <v>150</v>
      </c>
      <c r="AC19" s="359">
        <v>120</v>
      </c>
      <c r="AD19" s="359">
        <v>100</v>
      </c>
      <c r="AE19" s="359">
        <v>80</v>
      </c>
      <c r="AF19" s="359">
        <v>70</v>
      </c>
      <c r="AG19" s="359">
        <v>60</v>
      </c>
      <c r="AH19" s="359">
        <v>55</v>
      </c>
      <c r="AI19" s="359">
        <v>50</v>
      </c>
      <c r="AJ19" s="359">
        <v>45</v>
      </c>
      <c r="AK19" s="359">
        <v>40</v>
      </c>
    </row>
    <row r="20" spans="1:37" ht="18.75" customHeight="1">
      <c r="A20" s="348" t="s">
        <v>65</v>
      </c>
      <c r="B20" s="452" t="str">
        <f>E9</f>
        <v>VITKAY</v>
      </c>
      <c r="C20" s="452"/>
      <c r="D20" s="443" t="s">
        <v>190</v>
      </c>
      <c r="E20" s="444"/>
      <c r="F20" s="447"/>
      <c r="G20" s="447"/>
      <c r="H20" s="443" t="s">
        <v>190</v>
      </c>
      <c r="I20" s="444"/>
      <c r="J20" s="274"/>
      <c r="K20" s="274"/>
      <c r="L20" s="274"/>
      <c r="M20" s="274"/>
      <c r="Y20" s="359"/>
      <c r="Z20" s="359"/>
      <c r="AA20" s="359" t="s">
        <v>92</v>
      </c>
      <c r="AB20" s="359">
        <v>120</v>
      </c>
      <c r="AC20" s="359">
        <v>90</v>
      </c>
      <c r="AD20" s="359">
        <v>65</v>
      </c>
      <c r="AE20" s="359">
        <v>55</v>
      </c>
      <c r="AF20" s="359">
        <v>50</v>
      </c>
      <c r="AG20" s="359">
        <v>45</v>
      </c>
      <c r="AH20" s="359">
        <v>40</v>
      </c>
      <c r="AI20" s="359">
        <v>35</v>
      </c>
      <c r="AJ20" s="359">
        <v>25</v>
      </c>
      <c r="AK20" s="359">
        <v>20</v>
      </c>
    </row>
    <row r="21" spans="1:37" ht="18.75" customHeight="1">
      <c r="A21" s="348" t="s">
        <v>66</v>
      </c>
      <c r="B21" s="452" t="str">
        <f>E11</f>
        <v>PAJOR </v>
      </c>
      <c r="C21" s="452"/>
      <c r="D21" s="443" t="s">
        <v>191</v>
      </c>
      <c r="E21" s="444"/>
      <c r="F21" s="443" t="s">
        <v>191</v>
      </c>
      <c r="G21" s="444"/>
      <c r="H21" s="447"/>
      <c r="I21" s="447"/>
      <c r="J21" s="274"/>
      <c r="K21" s="274"/>
      <c r="L21" s="274"/>
      <c r="M21" s="274"/>
      <c r="Y21" s="359"/>
      <c r="Z21" s="359"/>
      <c r="AA21" s="359" t="s">
        <v>93</v>
      </c>
      <c r="AB21" s="359">
        <v>90</v>
      </c>
      <c r="AC21" s="359">
        <v>60</v>
      </c>
      <c r="AD21" s="359">
        <v>45</v>
      </c>
      <c r="AE21" s="359">
        <v>34</v>
      </c>
      <c r="AF21" s="359">
        <v>27</v>
      </c>
      <c r="AG21" s="359">
        <v>22</v>
      </c>
      <c r="AH21" s="359">
        <v>18</v>
      </c>
      <c r="AI21" s="359">
        <v>15</v>
      </c>
      <c r="AJ21" s="359">
        <v>12</v>
      </c>
      <c r="AK21" s="359">
        <v>9</v>
      </c>
    </row>
    <row r="22" spans="1:37" ht="12.75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Y22" s="359"/>
      <c r="Z22" s="359"/>
      <c r="AA22" s="359" t="s">
        <v>94</v>
      </c>
      <c r="AB22" s="359">
        <v>60</v>
      </c>
      <c r="AC22" s="359">
        <v>40</v>
      </c>
      <c r="AD22" s="359">
        <v>30</v>
      </c>
      <c r="AE22" s="359">
        <v>20</v>
      </c>
      <c r="AF22" s="359">
        <v>18</v>
      </c>
      <c r="AG22" s="359">
        <v>15</v>
      </c>
      <c r="AH22" s="359">
        <v>12</v>
      </c>
      <c r="AI22" s="359">
        <v>10</v>
      </c>
      <c r="AJ22" s="359">
        <v>8</v>
      </c>
      <c r="AK22" s="359">
        <v>6</v>
      </c>
    </row>
    <row r="23" spans="1:37" ht="12.7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Y23" s="359"/>
      <c r="Z23" s="359"/>
      <c r="AA23" s="359" t="s">
        <v>95</v>
      </c>
      <c r="AB23" s="359">
        <v>40</v>
      </c>
      <c r="AC23" s="359">
        <v>25</v>
      </c>
      <c r="AD23" s="359">
        <v>18</v>
      </c>
      <c r="AE23" s="359">
        <v>13</v>
      </c>
      <c r="AF23" s="359">
        <v>8</v>
      </c>
      <c r="AG23" s="359">
        <v>7</v>
      </c>
      <c r="AH23" s="359">
        <v>6</v>
      </c>
      <c r="AI23" s="359">
        <v>5</v>
      </c>
      <c r="AJ23" s="359">
        <v>4</v>
      </c>
      <c r="AK23" s="359">
        <v>3</v>
      </c>
    </row>
    <row r="24" spans="1:37" ht="12.75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Y24" s="359"/>
      <c r="Z24" s="359"/>
      <c r="AA24" s="359" t="s">
        <v>96</v>
      </c>
      <c r="AB24" s="359">
        <v>25</v>
      </c>
      <c r="AC24" s="359">
        <v>15</v>
      </c>
      <c r="AD24" s="359">
        <v>13</v>
      </c>
      <c r="AE24" s="359">
        <v>7</v>
      </c>
      <c r="AF24" s="359">
        <v>6</v>
      </c>
      <c r="AG24" s="359">
        <v>5</v>
      </c>
      <c r="AH24" s="359">
        <v>4</v>
      </c>
      <c r="AI24" s="359">
        <v>3</v>
      </c>
      <c r="AJ24" s="359">
        <v>2</v>
      </c>
      <c r="AK24" s="359">
        <v>1</v>
      </c>
    </row>
    <row r="25" spans="1:37" ht="12.7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Y25" s="359"/>
      <c r="Z25" s="359"/>
      <c r="AA25" s="359" t="s">
        <v>101</v>
      </c>
      <c r="AB25" s="359">
        <v>15</v>
      </c>
      <c r="AC25" s="359">
        <v>10</v>
      </c>
      <c r="AD25" s="359">
        <v>8</v>
      </c>
      <c r="AE25" s="359">
        <v>4</v>
      </c>
      <c r="AF25" s="359">
        <v>3</v>
      </c>
      <c r="AG25" s="359">
        <v>2</v>
      </c>
      <c r="AH25" s="359">
        <v>1</v>
      </c>
      <c r="AI25" s="359">
        <v>0</v>
      </c>
      <c r="AJ25" s="359">
        <v>0</v>
      </c>
      <c r="AK25" s="359">
        <v>0</v>
      </c>
    </row>
    <row r="26" spans="1:37" ht="12.75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Y26" s="359"/>
      <c r="Z26" s="359"/>
      <c r="AA26" s="359" t="s">
        <v>97</v>
      </c>
      <c r="AB26" s="359">
        <v>10</v>
      </c>
      <c r="AC26" s="359">
        <v>6</v>
      </c>
      <c r="AD26" s="359">
        <v>4</v>
      </c>
      <c r="AE26" s="359">
        <v>2</v>
      </c>
      <c r="AF26" s="359">
        <v>1</v>
      </c>
      <c r="AG26" s="359">
        <v>0</v>
      </c>
      <c r="AH26" s="359">
        <v>0</v>
      </c>
      <c r="AI26" s="359">
        <v>0</v>
      </c>
      <c r="AJ26" s="359">
        <v>0</v>
      </c>
      <c r="AK26" s="359">
        <v>0</v>
      </c>
    </row>
    <row r="27" spans="1:37" ht="12.7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Y27" s="359"/>
      <c r="Z27" s="359"/>
      <c r="AA27" s="359" t="s">
        <v>98</v>
      </c>
      <c r="AB27" s="359">
        <v>3</v>
      </c>
      <c r="AC27" s="359">
        <v>2</v>
      </c>
      <c r="AD27" s="359">
        <v>1</v>
      </c>
      <c r="AE27" s="359">
        <v>0</v>
      </c>
      <c r="AF27" s="359">
        <v>0</v>
      </c>
      <c r="AG27" s="359">
        <v>0</v>
      </c>
      <c r="AH27" s="359">
        <v>0</v>
      </c>
      <c r="AI27" s="359">
        <v>0</v>
      </c>
      <c r="AJ27" s="359">
        <v>0</v>
      </c>
      <c r="AK27" s="359">
        <v>0</v>
      </c>
    </row>
    <row r="28" spans="1:13" ht="12.7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13" ht="12.7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2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</row>
    <row r="31" spans="1:13" ht="12.7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9" ht="12.7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52"/>
      <c r="M32" s="252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20" t="s">
        <v>4</v>
      </c>
      <c r="E33" s="321" t="s">
        <v>45</v>
      </c>
      <c r="F33" s="339"/>
      <c r="G33" s="320" t="s">
        <v>4</v>
      </c>
      <c r="H33" s="321" t="s">
        <v>54</v>
      </c>
      <c r="I33" s="161"/>
      <c r="J33" s="321" t="s">
        <v>55</v>
      </c>
      <c r="K33" s="160" t="s">
        <v>56</v>
      </c>
      <c r="L33" s="33"/>
      <c r="M33" s="401"/>
      <c r="N33" s="400"/>
      <c r="O33" s="304"/>
      <c r="P33" s="314"/>
      <c r="Q33" s="314"/>
      <c r="R33" s="315"/>
      <c r="S33" s="304"/>
    </row>
    <row r="34" spans="1:19" ht="12.75">
      <c r="A34" s="285" t="s">
        <v>44</v>
      </c>
      <c r="B34" s="286"/>
      <c r="C34" s="288"/>
      <c r="D34" s="322"/>
      <c r="E34" s="440"/>
      <c r="F34" s="440"/>
      <c r="G34" s="333" t="s">
        <v>5</v>
      </c>
      <c r="H34" s="286"/>
      <c r="I34" s="323"/>
      <c r="J34" s="334"/>
      <c r="K34" s="280" t="s">
        <v>46</v>
      </c>
      <c r="L34" s="340"/>
      <c r="M34" s="328"/>
      <c r="O34" s="304"/>
      <c r="P34" s="316"/>
      <c r="Q34" s="316"/>
      <c r="R34" s="317"/>
      <c r="S34" s="304"/>
    </row>
    <row r="35" spans="1:19" ht="12.75">
      <c r="A35" s="289" t="s">
        <v>53</v>
      </c>
      <c r="B35" s="159"/>
      <c r="C35" s="291"/>
      <c r="D35" s="325"/>
      <c r="E35" s="441"/>
      <c r="F35" s="441"/>
      <c r="G35" s="335" t="s">
        <v>6</v>
      </c>
      <c r="H35" s="326"/>
      <c r="I35" s="327"/>
      <c r="J35" s="85"/>
      <c r="K35" s="337"/>
      <c r="L35" s="252"/>
      <c r="M35" s="332"/>
      <c r="O35" s="304"/>
      <c r="P35" s="317"/>
      <c r="Q35" s="318"/>
      <c r="R35" s="317"/>
      <c r="S35" s="304"/>
    </row>
    <row r="36" spans="1:19" ht="12.75">
      <c r="A36" s="174"/>
      <c r="B36" s="175"/>
      <c r="C36" s="176"/>
      <c r="D36" s="325"/>
      <c r="E36" s="329"/>
      <c r="F36" s="330"/>
      <c r="G36" s="335" t="s">
        <v>7</v>
      </c>
      <c r="H36" s="326"/>
      <c r="I36" s="327"/>
      <c r="J36" s="85"/>
      <c r="K36" s="280" t="s">
        <v>47</v>
      </c>
      <c r="L36" s="340"/>
      <c r="M36" s="324"/>
      <c r="O36" s="304"/>
      <c r="P36" s="316"/>
      <c r="Q36" s="316"/>
      <c r="R36" s="317"/>
      <c r="S36" s="304"/>
    </row>
    <row r="37" spans="1:19" ht="12.75">
      <c r="A37" s="150"/>
      <c r="B37" s="206"/>
      <c r="C37" s="151"/>
      <c r="D37" s="325"/>
      <c r="E37" s="329"/>
      <c r="F37" s="330"/>
      <c r="G37" s="335" t="s">
        <v>8</v>
      </c>
      <c r="H37" s="326"/>
      <c r="I37" s="327"/>
      <c r="J37" s="85"/>
      <c r="K37" s="338"/>
      <c r="L37" s="330"/>
      <c r="M37" s="328"/>
      <c r="O37" s="304"/>
      <c r="P37" s="317"/>
      <c r="Q37" s="318"/>
      <c r="R37" s="317"/>
      <c r="S37" s="304"/>
    </row>
    <row r="38" spans="1:19" ht="12.75">
      <c r="A38" s="163"/>
      <c r="B38" s="177"/>
      <c r="C38" s="210"/>
      <c r="D38" s="325"/>
      <c r="E38" s="329"/>
      <c r="F38" s="330"/>
      <c r="G38" s="335" t="s">
        <v>9</v>
      </c>
      <c r="H38" s="326"/>
      <c r="I38" s="327"/>
      <c r="J38" s="85"/>
      <c r="K38" s="289"/>
      <c r="L38" s="252"/>
      <c r="M38" s="332"/>
      <c r="O38" s="304"/>
      <c r="P38" s="317"/>
      <c r="Q38" s="318"/>
      <c r="R38" s="317"/>
      <c r="S38" s="304"/>
    </row>
    <row r="39" spans="1:19" ht="12.75">
      <c r="A39" s="164"/>
      <c r="B39" s="180"/>
      <c r="C39" s="151"/>
      <c r="D39" s="325"/>
      <c r="E39" s="329"/>
      <c r="F39" s="330"/>
      <c r="G39" s="335" t="s">
        <v>10</v>
      </c>
      <c r="H39" s="326"/>
      <c r="I39" s="327"/>
      <c r="J39" s="85"/>
      <c r="K39" s="280" t="s">
        <v>33</v>
      </c>
      <c r="L39" s="340"/>
      <c r="M39" s="324"/>
      <c r="O39" s="304"/>
      <c r="P39" s="316"/>
      <c r="Q39" s="316"/>
      <c r="R39" s="317"/>
      <c r="S39" s="304"/>
    </row>
    <row r="40" spans="1:19" ht="12.75">
      <c r="A40" s="164"/>
      <c r="B40" s="180"/>
      <c r="C40" s="172"/>
      <c r="D40" s="325"/>
      <c r="E40" s="329"/>
      <c r="F40" s="330"/>
      <c r="G40" s="335" t="s">
        <v>11</v>
      </c>
      <c r="H40" s="326"/>
      <c r="I40" s="327"/>
      <c r="J40" s="85"/>
      <c r="K40" s="338"/>
      <c r="L40" s="330"/>
      <c r="M40" s="328"/>
      <c r="O40" s="304"/>
      <c r="P40" s="317"/>
      <c r="Q40" s="318"/>
      <c r="R40" s="317"/>
      <c r="S40" s="304"/>
    </row>
    <row r="41" spans="1:19" ht="12.75">
      <c r="A41" s="165"/>
      <c r="B41" s="162"/>
      <c r="C41" s="173"/>
      <c r="D41" s="331"/>
      <c r="E41" s="152"/>
      <c r="F41" s="252"/>
      <c r="G41" s="336" t="s">
        <v>12</v>
      </c>
      <c r="H41" s="159"/>
      <c r="I41" s="282"/>
      <c r="J41" s="154"/>
      <c r="K41" s="289" t="str">
        <f>L4</f>
        <v>Kádár László</v>
      </c>
      <c r="L41" s="252"/>
      <c r="M41" s="332"/>
      <c r="O41" s="304"/>
      <c r="P41" s="317"/>
      <c r="Q41" s="318"/>
      <c r="R41" s="319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Budapest Város Szenior Bajnokság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2020.07.10-12.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38" t="s">
        <v>25</v>
      </c>
      <c r="B6" s="438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5" sqref="E15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392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Budapest Város Szenior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Fe65+</v>
      </c>
      <c r="D2" s="104"/>
      <c r="E2" s="202" t="s">
        <v>34</v>
      </c>
      <c r="F2" s="93"/>
      <c r="G2" s="93"/>
      <c r="H2" s="380"/>
      <c r="I2" s="38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5" t="s">
        <v>50</v>
      </c>
      <c r="B3" s="378"/>
      <c r="C3" s="378"/>
      <c r="D3" s="378"/>
      <c r="E3" s="378"/>
      <c r="F3" s="378"/>
      <c r="G3" s="378"/>
      <c r="H3" s="378"/>
      <c r="I3" s="37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4" t="s">
        <v>30</v>
      </c>
      <c r="I4" s="38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2020.07.10-12.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Kádár László</v>
      </c>
      <c r="I5" s="395"/>
      <c r="J5" s="111"/>
      <c r="K5" s="83"/>
      <c r="L5" s="83"/>
      <c r="M5" s="83"/>
      <c r="N5" s="111"/>
      <c r="O5" s="91"/>
      <c r="P5" s="91"/>
      <c r="Q5" s="399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81" t="s">
        <v>37</v>
      </c>
      <c r="I6" s="38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122</v>
      </c>
      <c r="C7" s="94" t="s">
        <v>123</v>
      </c>
      <c r="D7" s="95"/>
      <c r="E7" s="205"/>
      <c r="F7" s="112"/>
      <c r="G7" s="112">
        <v>65</v>
      </c>
      <c r="H7" s="95">
        <v>1</v>
      </c>
      <c r="I7" s="95"/>
      <c r="J7" s="187"/>
      <c r="K7" s="185"/>
      <c r="L7" s="189"/>
      <c r="M7" s="185"/>
      <c r="N7" s="179"/>
      <c r="O7" s="405"/>
      <c r="P7" s="113"/>
      <c r="Q7" s="96"/>
    </row>
    <row r="8" spans="1:17" s="11" customFormat="1" ht="18.75" customHeight="1">
      <c r="A8" s="190">
        <v>2</v>
      </c>
      <c r="B8" s="94" t="s">
        <v>117</v>
      </c>
      <c r="C8" s="94" t="s">
        <v>116</v>
      </c>
      <c r="D8" s="95"/>
      <c r="E8" s="422">
        <v>520210</v>
      </c>
      <c r="F8" s="423"/>
      <c r="G8" s="424">
        <v>65</v>
      </c>
      <c r="H8" s="95">
        <v>2</v>
      </c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115</v>
      </c>
      <c r="C9" s="94" t="s">
        <v>116</v>
      </c>
      <c r="D9" s="95"/>
      <c r="E9" s="422">
        <v>550320</v>
      </c>
      <c r="F9" s="423"/>
      <c r="G9" s="424">
        <v>65</v>
      </c>
      <c r="H9" s="95"/>
      <c r="I9" s="95"/>
      <c r="J9" s="187"/>
      <c r="K9" s="185"/>
      <c r="L9" s="189"/>
      <c r="M9" s="185"/>
      <c r="N9" s="179"/>
      <c r="O9" s="95"/>
      <c r="P9" s="387"/>
      <c r="Q9" s="213"/>
    </row>
    <row r="10" spans="1:17" s="11" customFormat="1" ht="18.75" customHeight="1">
      <c r="A10" s="190">
        <v>4</v>
      </c>
      <c r="B10" s="94" t="s">
        <v>118</v>
      </c>
      <c r="C10" s="94" t="s">
        <v>119</v>
      </c>
      <c r="D10" s="95"/>
      <c r="E10" s="422">
        <v>540607</v>
      </c>
      <c r="F10" s="423"/>
      <c r="G10" s="424">
        <v>65</v>
      </c>
      <c r="H10" s="95"/>
      <c r="I10" s="95"/>
      <c r="J10" s="187"/>
      <c r="K10" s="185"/>
      <c r="L10" s="189"/>
      <c r="M10" s="185"/>
      <c r="N10" s="179"/>
      <c r="O10" s="95"/>
      <c r="P10" s="386"/>
      <c r="Q10" s="383"/>
    </row>
    <row r="11" spans="1:17" s="11" customFormat="1" ht="18.75" customHeight="1">
      <c r="A11" s="190">
        <v>5</v>
      </c>
      <c r="B11" s="94" t="s">
        <v>120</v>
      </c>
      <c r="C11" s="94" t="s">
        <v>121</v>
      </c>
      <c r="D11" s="95"/>
      <c r="E11" s="205" t="s">
        <v>196</v>
      </c>
      <c r="F11" s="112"/>
      <c r="G11" s="112">
        <v>65</v>
      </c>
      <c r="H11" s="95"/>
      <c r="I11" s="95"/>
      <c r="J11" s="187"/>
      <c r="K11" s="185"/>
      <c r="L11" s="189"/>
      <c r="M11" s="185"/>
      <c r="N11" s="179"/>
      <c r="O11" s="95"/>
      <c r="P11" s="386"/>
      <c r="Q11" s="383"/>
    </row>
    <row r="12" spans="1:17" s="11" customFormat="1" ht="18.75" customHeight="1">
      <c r="A12" s="190">
        <v>6</v>
      </c>
      <c r="B12" s="94" t="s">
        <v>124</v>
      </c>
      <c r="C12" s="94" t="s">
        <v>125</v>
      </c>
      <c r="D12" s="95"/>
      <c r="E12" s="205" t="s">
        <v>197</v>
      </c>
      <c r="F12" s="112"/>
      <c r="G12" s="112">
        <v>65</v>
      </c>
      <c r="H12" s="95"/>
      <c r="I12" s="95"/>
      <c r="J12" s="187"/>
      <c r="K12" s="185"/>
      <c r="L12" s="189"/>
      <c r="M12" s="185"/>
      <c r="N12" s="179"/>
      <c r="O12" s="95"/>
      <c r="P12" s="386"/>
      <c r="Q12" s="383"/>
    </row>
    <row r="13" spans="1:17" s="11" customFormat="1" ht="18.75" customHeight="1">
      <c r="A13" s="190">
        <v>7</v>
      </c>
      <c r="B13" s="94" t="s">
        <v>126</v>
      </c>
      <c r="C13" s="94" t="s">
        <v>127</v>
      </c>
      <c r="D13" s="95"/>
      <c r="E13" s="205" t="s">
        <v>128</v>
      </c>
      <c r="F13" s="112"/>
      <c r="G13" s="112">
        <v>65</v>
      </c>
      <c r="H13" s="95"/>
      <c r="I13" s="95"/>
      <c r="J13" s="187"/>
      <c r="K13" s="185"/>
      <c r="L13" s="189"/>
      <c r="M13" s="185"/>
      <c r="N13" s="179"/>
      <c r="O13" s="95"/>
      <c r="P13" s="386"/>
      <c r="Q13" s="383"/>
    </row>
    <row r="14" spans="1:17" s="11" customFormat="1" ht="18.75" customHeight="1">
      <c r="A14" s="190">
        <v>8</v>
      </c>
      <c r="B14" s="94" t="s">
        <v>129</v>
      </c>
      <c r="C14" s="94" t="s">
        <v>130</v>
      </c>
      <c r="D14" s="95"/>
      <c r="E14" s="205"/>
      <c r="F14" s="112"/>
      <c r="G14" s="112">
        <v>65</v>
      </c>
      <c r="H14" s="95"/>
      <c r="I14" s="95"/>
      <c r="J14" s="187"/>
      <c r="K14" s="185"/>
      <c r="L14" s="189"/>
      <c r="M14" s="185"/>
      <c r="N14" s="179"/>
      <c r="O14" s="95"/>
      <c r="P14" s="386"/>
      <c r="Q14" s="383"/>
    </row>
    <row r="15" spans="1:17" s="11" customFormat="1" ht="18.75" customHeight="1">
      <c r="A15" s="190">
        <v>9</v>
      </c>
      <c r="B15" s="94" t="s">
        <v>131</v>
      </c>
      <c r="C15" s="94" t="s">
        <v>132</v>
      </c>
      <c r="D15" s="95"/>
      <c r="E15" s="205"/>
      <c r="F15" s="112"/>
      <c r="G15" s="112">
        <v>65</v>
      </c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94" t="s">
        <v>133</v>
      </c>
      <c r="C16" s="94" t="s">
        <v>134</v>
      </c>
      <c r="D16" s="95"/>
      <c r="E16" s="205" t="s">
        <v>135</v>
      </c>
      <c r="F16" s="112"/>
      <c r="G16" s="112">
        <v>65</v>
      </c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6"/>
      <c r="F28" s="396"/>
      <c r="G28" s="39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0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156">
    <cfRule type="expression" priority="22" dxfId="6" stopIfTrue="1">
      <formula>AND(ROUNDDOWN(($A$4-E7)/365.25,0)&lt;=13,G7&lt;&gt;"OK")</formula>
    </cfRule>
    <cfRule type="expression" priority="23" dxfId="5" stopIfTrue="1">
      <formula>AND(ROUNDDOWN(($A$4-E7)/365.25,0)&lt;=14,G7&lt;&gt;"OK")</formula>
    </cfRule>
    <cfRule type="expression" priority="24" dxfId="4" stopIfTrue="1">
      <formula>AND(ROUNDDOWN(($A$4-E7)/365.25,0)&lt;=17,G7&lt;&gt;"OK")</formula>
    </cfRule>
  </conditionalFormatting>
  <conditionalFormatting sqref="J7:J156">
    <cfRule type="cellIs" priority="25" dxfId="20" operator="equal" stopIfTrue="1">
      <formula>"Z"</formula>
    </cfRule>
  </conditionalFormatting>
  <conditionalFormatting sqref="A7:D156">
    <cfRule type="expression" priority="26" dxfId="2" stopIfTrue="1">
      <formula>$Q7&gt;=1</formula>
    </cfRule>
  </conditionalFormatting>
  <conditionalFormatting sqref="E7:E14">
    <cfRule type="expression" priority="19" dxfId="6" stopIfTrue="1">
      <formula>AND(ROUNDDOWN(($A$4-E7)/365.25,0)&lt;=13,G7&lt;&gt;"OK")</formula>
    </cfRule>
    <cfRule type="expression" priority="20" dxfId="5" stopIfTrue="1">
      <formula>AND(ROUNDDOWN(($A$4-E7)/365.25,0)&lt;=14,G7&lt;&gt;"OK")</formula>
    </cfRule>
    <cfRule type="expression" priority="21" dxfId="4" stopIfTrue="1">
      <formula>AND(ROUNDDOWN(($A$4-E7)/365.25,0)&lt;=17,G7&lt;&gt;"OK")</formula>
    </cfRule>
  </conditionalFormatting>
  <conditionalFormatting sqref="J7:J14">
    <cfRule type="cellIs" priority="18" dxfId="20" operator="equal" stopIfTrue="1">
      <formula>"Z"</formula>
    </cfRule>
  </conditionalFormatting>
  <conditionalFormatting sqref="B7:D14">
    <cfRule type="expression" priority="17" dxfId="2" stopIfTrue="1">
      <formula>$Q7&gt;=1</formula>
    </cfRule>
  </conditionalFormatting>
  <conditionalFormatting sqref="E7:E14">
    <cfRule type="expression" priority="14" dxfId="6" stopIfTrue="1">
      <formula>AND(ROUNDDOWN(($A$4-E7)/365.25,0)&lt;=13,G7&lt;&gt;"OK")</formula>
    </cfRule>
    <cfRule type="expression" priority="15" dxfId="5" stopIfTrue="1">
      <formula>AND(ROUNDDOWN(($A$4-E7)/365.25,0)&lt;=14,G7&lt;&gt;"OK")</formula>
    </cfRule>
    <cfRule type="expression" priority="16" dxfId="4" stopIfTrue="1">
      <formula>AND(ROUNDDOWN(($A$4-E7)/365.25,0)&lt;=17,G7&lt;&gt;"OK")</formula>
    </cfRule>
  </conditionalFormatting>
  <conditionalFormatting sqref="B7:D14">
    <cfRule type="expression" priority="13" dxfId="2" stopIfTrue="1">
      <formula>$Q7&gt;=1</formula>
    </cfRule>
  </conditionalFormatting>
  <conditionalFormatting sqref="E7:E27 E29:E37">
    <cfRule type="expression" priority="10" dxfId="6" stopIfTrue="1">
      <formula>AND(ROUNDDOWN(($A$4-E7)/365.25,0)&lt;=13,G7&lt;&gt;"OK")</formula>
    </cfRule>
    <cfRule type="expression" priority="11" dxfId="5" stopIfTrue="1">
      <formula>AND(ROUNDDOWN(($A$4-E7)/365.25,0)&lt;=14,G7&lt;&gt;"OK")</formula>
    </cfRule>
    <cfRule type="expression" priority="12" dxfId="4" stopIfTrue="1">
      <formula>AND(ROUNDDOWN(($A$4-E7)/365.25,0)&lt;=17,G7&lt;&gt;"OK")</formula>
    </cfRule>
  </conditionalFormatting>
  <conditionalFormatting sqref="B7:D37">
    <cfRule type="expression" priority="9" dxfId="2" stopIfTrue="1">
      <formula>$Q7&gt;=1</formula>
    </cfRule>
  </conditionalFormatting>
  <conditionalFormatting sqref="E7:E16">
    <cfRule type="expression" priority="6" dxfId="6" stopIfTrue="1">
      <formula>AND(ROUNDDOWN(($A$4-E7)/365.25,0)&lt;=13,G7&lt;&gt;"OK")</formula>
    </cfRule>
    <cfRule type="expression" priority="7" dxfId="5" stopIfTrue="1">
      <formula>AND(ROUNDDOWN(($A$4-E7)/365.25,0)&lt;=14,G7&lt;&gt;"OK")</formula>
    </cfRule>
    <cfRule type="expression" priority="8" dxfId="4" stopIfTrue="1">
      <formula>AND(ROUNDDOWN(($A$4-E7)/365.25,0)&lt;=17,G7&lt;&gt;"OK")</formula>
    </cfRule>
  </conditionalFormatting>
  <conditionalFormatting sqref="B7:D16">
    <cfRule type="expression" priority="5" dxfId="2" stopIfTrue="1">
      <formula>$Q7&gt;=1</formula>
    </cfRule>
  </conditionalFormatting>
  <conditionalFormatting sqref="E7:E16">
    <cfRule type="expression" priority="2" dxfId="6" stopIfTrue="1">
      <formula>AND(ROUNDDOWN(($A$4-E7)/365.25,0)&lt;=13,G7&lt;&gt;"OK")</formula>
    </cfRule>
    <cfRule type="expression" priority="3" dxfId="5" stopIfTrue="1">
      <formula>AND(ROUNDDOWN(($A$4-E7)/365.25,0)&lt;=14,G7&lt;&gt;"OK")</formula>
    </cfRule>
    <cfRule type="expression" priority="4" dxfId="4" stopIfTrue="1">
      <formula>AND(ROUNDDOWN(($A$4-E7)/365.25,0)&lt;=17,G7&lt;&gt;"OK")</formula>
    </cfRule>
  </conditionalFormatting>
  <conditionalFormatting sqref="B7:D16">
    <cfRule type="expression" priority="1" dxfId="2" stopIfTrue="1">
      <formula>$Q8&gt;=1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2" customWidth="1"/>
  </cols>
  <sheetData>
    <row r="1" spans="1:37" s="116" customFormat="1" ht="21.75" customHeight="1">
      <c r="A1" s="224" t="str">
        <f>Altalanos!$A$6</f>
        <v>Budapest Város Szenior Bajnokság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5"/>
      <c r="U1" s="275"/>
      <c r="V1" s="275"/>
      <c r="W1" s="275"/>
      <c r="X1" s="275"/>
      <c r="Y1" s="275"/>
      <c r="Z1" s="275"/>
      <c r="AA1" s="275"/>
      <c r="AB1" s="365" t="e">
        <f>IF($Y$5=1,CONCATENATE(VLOOKUP($Y$3,$AA$2:$AH$14,2)),CONCATENATE(VLOOKUP($Y$3,$AA$16:$AH$25,2)))</f>
        <v>#N/A</v>
      </c>
      <c r="AC1" s="365" t="e">
        <f>IF($Y$5=1,CONCATENATE(VLOOKUP($Y$3,$AA$2:$AH$14,3)),CONCATENATE(VLOOKUP($Y$3,$AA$16:$AH$25,3)))</f>
        <v>#N/A</v>
      </c>
      <c r="AD1" s="365" t="e">
        <f>IF($Y$5=1,CONCATENATE(VLOOKUP($Y$3,$AA$2:$AH$14,4)),CONCATENATE(VLOOKUP($Y$3,$AA$16:$AH$25,4)))</f>
        <v>#N/A</v>
      </c>
      <c r="AE1" s="365" t="e">
        <f>IF($Y$5=1,CONCATENATE(VLOOKUP($Y$3,$AA$2:$AH$14,5)),CONCATENATE(VLOOKUP($Y$3,$AA$16:$AH$25,5)))</f>
        <v>#N/A</v>
      </c>
      <c r="AF1" s="365" t="e">
        <f>IF($Y$5=1,CONCATENATE(VLOOKUP($Y$3,$AA$2:$AH$14,6)),CONCATENATE(VLOOKUP($Y$3,$AA$16:$AH$25,6)))</f>
        <v>#N/A</v>
      </c>
      <c r="AG1" s="365" t="e">
        <f>IF($Y$5=1,CONCATENATE(VLOOKUP($Y$3,$AA$2:$AH$14,7)),CONCATENATE(VLOOKUP($Y$3,$AA$16:$AH$25,7)))</f>
        <v>#N/A</v>
      </c>
      <c r="AH1" s="365" t="e">
        <f>IF($Y$5=1,CONCATENATE(VLOOKUP($Y$3,$AA$2:$AH$14,8)),CONCATENATE(VLOOKUP($Y$3,$AA$16:$AH$25,8)))</f>
        <v>#N/A</v>
      </c>
      <c r="AI1" s="369"/>
      <c r="AJ1" s="369"/>
      <c r="AK1" s="369"/>
    </row>
    <row r="2" spans="1:45" s="97" customFormat="1" ht="12.75">
      <c r="A2" s="231" t="s">
        <v>51</v>
      </c>
      <c r="B2" s="232"/>
      <c r="C2" s="232"/>
      <c r="D2" s="232"/>
      <c r="E2" s="232" t="str">
        <f>Altalanos!$A$8</f>
        <v>Fe65+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68"/>
      <c r="U2" s="268"/>
      <c r="V2" s="268"/>
      <c r="W2" s="268"/>
      <c r="X2" s="268"/>
      <c r="Y2" s="360"/>
      <c r="Z2" s="359"/>
      <c r="AA2" s="359" t="s">
        <v>64</v>
      </c>
      <c r="AB2" s="363">
        <v>300</v>
      </c>
      <c r="AC2" s="363">
        <v>250</v>
      </c>
      <c r="AD2" s="363">
        <v>200</v>
      </c>
      <c r="AE2" s="363">
        <v>150</v>
      </c>
      <c r="AF2" s="363">
        <v>120</v>
      </c>
      <c r="AG2" s="363">
        <v>90</v>
      </c>
      <c r="AH2" s="363">
        <v>40</v>
      </c>
      <c r="AI2" s="341"/>
      <c r="AJ2" s="341"/>
      <c r="AK2" s="341"/>
      <c r="AL2" s="268"/>
      <c r="AM2" s="268"/>
      <c r="AN2" s="268"/>
      <c r="AO2" s="268"/>
      <c r="AP2" s="268"/>
      <c r="AQ2" s="268"/>
      <c r="AR2" s="268"/>
      <c r="AS2" s="268"/>
    </row>
    <row r="3" spans="1:45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69"/>
      <c r="U3" s="269"/>
      <c r="V3" s="269"/>
      <c r="W3" s="269"/>
      <c r="X3" s="269"/>
      <c r="Y3" s="359">
        <f>IF(K4="OB","A",IF(K4="IX","W",IF(K4="","",K4)))</f>
      </c>
      <c r="Z3" s="359"/>
      <c r="AA3" s="359" t="s">
        <v>65</v>
      </c>
      <c r="AB3" s="363">
        <v>280</v>
      </c>
      <c r="AC3" s="363">
        <v>230</v>
      </c>
      <c r="AD3" s="363">
        <v>180</v>
      </c>
      <c r="AE3" s="363">
        <v>140</v>
      </c>
      <c r="AF3" s="363">
        <v>80</v>
      </c>
      <c r="AG3" s="363">
        <v>0</v>
      </c>
      <c r="AH3" s="363">
        <v>0</v>
      </c>
      <c r="AI3" s="341"/>
      <c r="AJ3" s="341"/>
      <c r="AK3" s="341"/>
      <c r="AL3" s="269"/>
      <c r="AM3" s="269"/>
      <c r="AN3" s="269"/>
      <c r="AO3" s="269"/>
      <c r="AP3" s="269"/>
      <c r="AQ3" s="269"/>
      <c r="AR3" s="269"/>
      <c r="AS3" s="269"/>
    </row>
    <row r="4" spans="1:45" s="28" customFormat="1" ht="11.25" customHeight="1" thickBot="1">
      <c r="A4" s="439" t="str">
        <f>Altalanos!$A$10</f>
        <v>2020.07.10-12.</v>
      </c>
      <c r="B4" s="439"/>
      <c r="C4" s="439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Kádár László</v>
      </c>
      <c r="T4" s="270"/>
      <c r="U4" s="270"/>
      <c r="V4" s="270"/>
      <c r="W4" s="270"/>
      <c r="X4" s="270"/>
      <c r="Y4" s="359"/>
      <c r="Z4" s="359"/>
      <c r="AA4" s="359" t="s">
        <v>89</v>
      </c>
      <c r="AB4" s="363">
        <v>250</v>
      </c>
      <c r="AC4" s="363">
        <v>200</v>
      </c>
      <c r="AD4" s="363">
        <v>150</v>
      </c>
      <c r="AE4" s="363">
        <v>120</v>
      </c>
      <c r="AF4" s="363">
        <v>90</v>
      </c>
      <c r="AG4" s="363">
        <v>60</v>
      </c>
      <c r="AH4" s="363">
        <v>25</v>
      </c>
      <c r="AI4" s="341"/>
      <c r="AJ4" s="341"/>
      <c r="AK4" s="341"/>
      <c r="AL4" s="270"/>
      <c r="AM4" s="270"/>
      <c r="AN4" s="270"/>
      <c r="AO4" s="270"/>
      <c r="AP4" s="270"/>
      <c r="AQ4" s="270"/>
      <c r="AR4" s="270"/>
      <c r="AS4" s="270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69"/>
      <c r="U5" s="269"/>
      <c r="V5" s="269"/>
      <c r="W5" s="269"/>
      <c r="X5" s="269"/>
      <c r="Y5" s="359">
        <f>IF(OR(Altalanos!$A$8="F1",Altalanos!$A$8="F2",Altalanos!$A$8="N1",Altalanos!$A$8="N2"),1,2)</f>
        <v>2</v>
      </c>
      <c r="Z5" s="359"/>
      <c r="AA5" s="359" t="s">
        <v>90</v>
      </c>
      <c r="AB5" s="363">
        <v>200</v>
      </c>
      <c r="AC5" s="363">
        <v>150</v>
      </c>
      <c r="AD5" s="363">
        <v>120</v>
      </c>
      <c r="AE5" s="363">
        <v>90</v>
      </c>
      <c r="AF5" s="363">
        <v>60</v>
      </c>
      <c r="AG5" s="363">
        <v>40</v>
      </c>
      <c r="AH5" s="363">
        <v>15</v>
      </c>
      <c r="AI5" s="341"/>
      <c r="AJ5" s="341"/>
      <c r="AK5" s="341"/>
      <c r="AL5" s="269"/>
      <c r="AM5" s="269"/>
      <c r="AN5" s="269"/>
      <c r="AO5" s="269"/>
      <c r="AP5" s="269"/>
      <c r="AQ5" s="269"/>
      <c r="AR5" s="269"/>
      <c r="AS5" s="269"/>
    </row>
    <row r="6" spans="1:45" s="411" customFormat="1" ht="10.5" customHeight="1" thickBot="1">
      <c r="A6" s="412"/>
      <c r="B6" s="453" t="s">
        <v>198</v>
      </c>
      <c r="C6" s="413"/>
      <c r="D6" s="413"/>
      <c r="E6" s="413"/>
      <c r="F6" s="412">
        <f>IF(Y3="","",CONCATENATE(VLOOKUP(Y3,AB1:AH1,4)," pont"))</f>
      </c>
      <c r="G6" s="414"/>
      <c r="H6" s="415"/>
      <c r="I6" s="414"/>
      <c r="J6" s="416"/>
      <c r="K6" s="413">
        <f>IF(Y3="","",CONCATENATE(VLOOKUP(Y3,AB1:AH1,3)," pont"))</f>
      </c>
      <c r="L6" s="416"/>
      <c r="M6" s="413">
        <f>IF(Y3="","",CONCATENATE(VLOOKUP(Y3,AB1:AH1,2)," pont"))</f>
      </c>
      <c r="N6" s="416"/>
      <c r="O6" s="413">
        <f>IF(Y3="","",CONCATENATE(VLOOKUP(Y3,AB1:AH1,1)," pont"))</f>
      </c>
      <c r="P6" s="416"/>
      <c r="Q6" s="413"/>
      <c r="R6" s="417"/>
      <c r="T6" s="418"/>
      <c r="U6" s="418"/>
      <c r="V6" s="418"/>
      <c r="W6" s="418"/>
      <c r="X6" s="418"/>
      <c r="Y6" s="419"/>
      <c r="Z6" s="419"/>
      <c r="AA6" s="419" t="s">
        <v>91</v>
      </c>
      <c r="AB6" s="420">
        <v>150</v>
      </c>
      <c r="AC6" s="420">
        <v>120</v>
      </c>
      <c r="AD6" s="420">
        <v>90</v>
      </c>
      <c r="AE6" s="420">
        <v>60</v>
      </c>
      <c r="AF6" s="420">
        <v>40</v>
      </c>
      <c r="AG6" s="420">
        <v>25</v>
      </c>
      <c r="AH6" s="420">
        <v>10</v>
      </c>
      <c r="AI6" s="421"/>
      <c r="AJ6" s="421"/>
      <c r="AK6" s="421"/>
      <c r="AL6" s="418"/>
      <c r="AM6" s="418"/>
      <c r="AN6" s="418"/>
      <c r="AO6" s="418"/>
      <c r="AP6" s="418"/>
      <c r="AQ6" s="418"/>
      <c r="AR6" s="418"/>
      <c r="AS6" s="418"/>
    </row>
    <row r="7" spans="1:45" s="34" customFormat="1" ht="12.75" customHeight="1">
      <c r="A7" s="123">
        <v>1</v>
      </c>
      <c r="B7" s="454">
        <f>IF($E7="","",VLOOKUP($E7,'65elő'!$A$7:$O$22,14))</f>
        <v>0</v>
      </c>
      <c r="C7" s="243">
        <f>IF($E7="","",VLOOKUP($E7,'65elő'!$A$7:$O$22,15))</f>
        <v>0</v>
      </c>
      <c r="D7" s="243">
        <f>IF($E7="","",VLOOKUP($E7,'65elő'!$A$7:$O$22,5))</f>
        <v>0</v>
      </c>
      <c r="E7" s="244">
        <v>1</v>
      </c>
      <c r="F7" s="245" t="str">
        <f>UPPER(IF($E7="","",VLOOKUP($E7,'65elő'!$A$7:$O$22,2)))</f>
        <v>RAKONCZAY</v>
      </c>
      <c r="G7" s="245" t="str">
        <f>IF($E7="","",VLOOKUP($E7,'65elő'!$A$7:$O$22,3))</f>
        <v>Tibor</v>
      </c>
      <c r="H7" s="245"/>
      <c r="I7" s="245">
        <f>IF($E7="","",VLOOKUP($E7,'65elő'!$A$7:$O$22,4))</f>
        <v>0</v>
      </c>
      <c r="J7" s="246"/>
      <c r="K7" s="247"/>
      <c r="L7" s="247"/>
      <c r="M7" s="247"/>
      <c r="N7" s="247"/>
      <c r="O7" s="124"/>
      <c r="P7" s="125"/>
      <c r="Q7" s="126"/>
      <c r="R7" s="127"/>
      <c r="S7" s="128"/>
      <c r="T7" s="128"/>
      <c r="U7" s="271" t="str">
        <f>Birók!P21</f>
        <v>Bíró</v>
      </c>
      <c r="V7" s="128"/>
      <c r="W7" s="128"/>
      <c r="X7" s="128"/>
      <c r="Y7" s="359"/>
      <c r="Z7" s="359"/>
      <c r="AA7" s="359" t="s">
        <v>92</v>
      </c>
      <c r="AB7" s="363">
        <v>120</v>
      </c>
      <c r="AC7" s="363">
        <v>90</v>
      </c>
      <c r="AD7" s="363">
        <v>60</v>
      </c>
      <c r="AE7" s="363">
        <v>40</v>
      </c>
      <c r="AF7" s="363">
        <v>25</v>
      </c>
      <c r="AG7" s="363">
        <v>10</v>
      </c>
      <c r="AH7" s="363">
        <v>5</v>
      </c>
      <c r="AI7" s="341"/>
      <c r="AJ7" s="341"/>
      <c r="AK7" s="341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455"/>
      <c r="C8" s="248"/>
      <c r="D8" s="248"/>
      <c r="E8" s="157"/>
      <c r="F8" s="249"/>
      <c r="G8" s="249"/>
      <c r="H8" s="250"/>
      <c r="I8" s="398" t="s">
        <v>0</v>
      </c>
      <c r="J8" s="130" t="s">
        <v>166</v>
      </c>
      <c r="K8" s="251" t="str">
        <f>UPPER(IF(OR(J8="a",J8="as"),F7,IF(OR(J8="b",J8="bs"),F9,)))</f>
        <v>RAKONCZAY</v>
      </c>
      <c r="L8" s="251"/>
      <c r="M8" s="247"/>
      <c r="N8" s="247"/>
      <c r="O8" s="124"/>
      <c r="P8" s="125"/>
      <c r="Q8" s="126"/>
      <c r="R8" s="127"/>
      <c r="S8" s="128"/>
      <c r="T8" s="128"/>
      <c r="U8" s="272" t="str">
        <f>Birók!P22</f>
        <v> </v>
      </c>
      <c r="V8" s="128"/>
      <c r="W8" s="128"/>
      <c r="X8" s="128"/>
      <c r="Y8" s="359"/>
      <c r="Z8" s="359"/>
      <c r="AA8" s="359" t="s">
        <v>93</v>
      </c>
      <c r="AB8" s="363">
        <v>90</v>
      </c>
      <c r="AC8" s="363">
        <v>60</v>
      </c>
      <c r="AD8" s="363">
        <v>40</v>
      </c>
      <c r="AE8" s="363">
        <v>25</v>
      </c>
      <c r="AF8" s="363">
        <v>10</v>
      </c>
      <c r="AG8" s="363">
        <v>5</v>
      </c>
      <c r="AH8" s="363">
        <v>2</v>
      </c>
      <c r="AI8" s="341"/>
      <c r="AJ8" s="341"/>
      <c r="AK8" s="341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454">
        <f>IF($E9="","",VLOOKUP($E9,'65elő'!$A$7:$O$22,14))</f>
        <v>0</v>
      </c>
      <c r="C9" s="243">
        <f>IF($E9="","",VLOOKUP($E9,'65elő'!$A$7:$O$22,15))</f>
        <v>0</v>
      </c>
      <c r="D9" s="243">
        <f>IF($E9="","",VLOOKUP($E9,'65elő'!$A$7:$O$22,5))</f>
        <v>0</v>
      </c>
      <c r="E9" s="388">
        <v>8</v>
      </c>
      <c r="F9" s="294" t="str">
        <f>UPPER(IF($E9="","",VLOOKUP($E9,'65elő'!$A$7:$O$22,2)))</f>
        <v>ANTAL</v>
      </c>
      <c r="G9" s="294" t="str">
        <f>IF($E9="","",VLOOKUP($E9,'65elő'!$A$7:$O$22,3))</f>
        <v>Péter</v>
      </c>
      <c r="H9" s="294"/>
      <c r="I9" s="294">
        <f>IF($E9="","",VLOOKUP($E9,'65elő'!$A$7:$O$22,4))</f>
        <v>0</v>
      </c>
      <c r="J9" s="253"/>
      <c r="K9" s="247" t="s">
        <v>167</v>
      </c>
      <c r="L9" s="254"/>
      <c r="M9" s="247"/>
      <c r="N9" s="247"/>
      <c r="O9" s="124"/>
      <c r="P9" s="125"/>
      <c r="Q9" s="126"/>
      <c r="R9" s="127"/>
      <c r="S9" s="128"/>
      <c r="T9" s="128"/>
      <c r="U9" s="272" t="str">
        <f>Birók!P23</f>
        <v> </v>
      </c>
      <c r="V9" s="128"/>
      <c r="W9" s="128"/>
      <c r="X9" s="128"/>
      <c r="Y9" s="359"/>
      <c r="Z9" s="359"/>
      <c r="AA9" s="359" t="s">
        <v>94</v>
      </c>
      <c r="AB9" s="363">
        <v>60</v>
      </c>
      <c r="AC9" s="363">
        <v>40</v>
      </c>
      <c r="AD9" s="363">
        <v>25</v>
      </c>
      <c r="AE9" s="363">
        <v>10</v>
      </c>
      <c r="AF9" s="363">
        <v>5</v>
      </c>
      <c r="AG9" s="363">
        <v>2</v>
      </c>
      <c r="AH9" s="363">
        <v>1</v>
      </c>
      <c r="AI9" s="341"/>
      <c r="AJ9" s="341"/>
      <c r="AK9" s="341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455"/>
      <c r="C10" s="248"/>
      <c r="D10" s="248"/>
      <c r="E10" s="389"/>
      <c r="F10" s="390"/>
      <c r="G10" s="390"/>
      <c r="H10" s="391"/>
      <c r="I10" s="390"/>
      <c r="J10" s="255"/>
      <c r="K10" s="398" t="s">
        <v>0</v>
      </c>
      <c r="L10" s="131" t="s">
        <v>172</v>
      </c>
      <c r="M10" s="251" t="str">
        <f>UPPER(IF(OR(L10="a",L10="as"),K8,IF(OR(L10="b",L10="bs"),K12,)))</f>
        <v>KOVÁCS S</v>
      </c>
      <c r="N10" s="256"/>
      <c r="O10" s="257"/>
      <c r="P10" s="257"/>
      <c r="Q10" s="126"/>
      <c r="R10" s="127"/>
      <c r="S10" s="128"/>
      <c r="T10" s="128"/>
      <c r="U10" s="272" t="str">
        <f>Birók!P24</f>
        <v> </v>
      </c>
      <c r="V10" s="128"/>
      <c r="W10" s="128"/>
      <c r="X10" s="128"/>
      <c r="Y10" s="359"/>
      <c r="Z10" s="359"/>
      <c r="AA10" s="359" t="s">
        <v>95</v>
      </c>
      <c r="AB10" s="363">
        <v>40</v>
      </c>
      <c r="AC10" s="363">
        <v>25</v>
      </c>
      <c r="AD10" s="363">
        <v>15</v>
      </c>
      <c r="AE10" s="363">
        <v>7</v>
      </c>
      <c r="AF10" s="363">
        <v>4</v>
      </c>
      <c r="AG10" s="363">
        <v>1</v>
      </c>
      <c r="AH10" s="363">
        <v>0</v>
      </c>
      <c r="AI10" s="341"/>
      <c r="AJ10" s="341"/>
      <c r="AK10" s="341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454">
        <v>200</v>
      </c>
      <c r="C11" s="243">
        <f>IF($E11="","",VLOOKUP($E11,'65elő'!$A$7:$O$22,15))</f>
        <v>0</v>
      </c>
      <c r="D11" s="243" t="str">
        <f>IF($E11="","",VLOOKUP($E11,'65elő'!$A$7:$O$22,5))</f>
        <v>550913</v>
      </c>
      <c r="E11" s="388">
        <v>5</v>
      </c>
      <c r="F11" s="294" t="str">
        <f>UPPER(IF($E11="","",VLOOKUP($E11,'65elő'!$A$7:$O$22,2)))</f>
        <v>KOVÁCS S</v>
      </c>
      <c r="G11" s="294" t="str">
        <f>IF($E11="","",VLOOKUP($E11,'65elő'!$A$7:$O$22,3))</f>
        <v>Ottó</v>
      </c>
      <c r="H11" s="294"/>
      <c r="I11" s="294">
        <f>IF($E11="","",VLOOKUP($E11,'65elő'!$A$7:$O$22,4))</f>
        <v>0</v>
      </c>
      <c r="J11" s="246"/>
      <c r="K11" s="247"/>
      <c r="L11" s="258"/>
      <c r="M11" s="247" t="s">
        <v>167</v>
      </c>
      <c r="N11" s="259"/>
      <c r="O11" s="257"/>
      <c r="P11" s="257"/>
      <c r="Q11" s="126"/>
      <c r="R11" s="127"/>
      <c r="S11" s="128"/>
      <c r="T11" s="128"/>
      <c r="U11" s="272" t="str">
        <f>Birók!P25</f>
        <v> </v>
      </c>
      <c r="V11" s="128"/>
      <c r="W11" s="128"/>
      <c r="X11" s="128"/>
      <c r="Y11" s="359"/>
      <c r="Z11" s="359"/>
      <c r="AA11" s="359" t="s">
        <v>96</v>
      </c>
      <c r="AB11" s="363">
        <v>25</v>
      </c>
      <c r="AC11" s="363">
        <v>15</v>
      </c>
      <c r="AD11" s="363">
        <v>10</v>
      </c>
      <c r="AE11" s="363">
        <v>6</v>
      </c>
      <c r="AF11" s="363">
        <v>3</v>
      </c>
      <c r="AG11" s="363">
        <v>1</v>
      </c>
      <c r="AH11" s="363">
        <v>0</v>
      </c>
      <c r="AI11" s="341"/>
      <c r="AJ11" s="341"/>
      <c r="AK11" s="341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455"/>
      <c r="C12" s="248"/>
      <c r="D12" s="248"/>
      <c r="E12" s="389"/>
      <c r="F12" s="390"/>
      <c r="G12" s="390"/>
      <c r="H12" s="391"/>
      <c r="I12" s="398" t="s">
        <v>0</v>
      </c>
      <c r="J12" s="130" t="s">
        <v>166</v>
      </c>
      <c r="K12" s="251" t="str">
        <f>UPPER(IF(OR(J12="a",J12="as"),F11,IF(OR(J12="b",J12="bs"),F13,)))</f>
        <v>KOVÁCS S</v>
      </c>
      <c r="L12" s="260"/>
      <c r="M12" s="247"/>
      <c r="N12" s="259"/>
      <c r="O12" s="257"/>
      <c r="P12" s="257"/>
      <c r="Q12" s="126"/>
      <c r="R12" s="127"/>
      <c r="S12" s="128"/>
      <c r="T12" s="128"/>
      <c r="U12" s="272" t="str">
        <f>Birók!P26</f>
        <v> </v>
      </c>
      <c r="V12" s="128"/>
      <c r="W12" s="128"/>
      <c r="X12" s="128"/>
      <c r="Y12" s="359"/>
      <c r="Z12" s="359"/>
      <c r="AA12" s="359" t="s">
        <v>101</v>
      </c>
      <c r="AB12" s="363">
        <v>15</v>
      </c>
      <c r="AC12" s="363">
        <v>10</v>
      </c>
      <c r="AD12" s="363">
        <v>6</v>
      </c>
      <c r="AE12" s="363">
        <v>3</v>
      </c>
      <c r="AF12" s="363">
        <v>1</v>
      </c>
      <c r="AG12" s="363">
        <v>0</v>
      </c>
      <c r="AH12" s="363">
        <v>0</v>
      </c>
      <c r="AI12" s="341"/>
      <c r="AJ12" s="341"/>
      <c r="AK12" s="341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454">
        <v>60</v>
      </c>
      <c r="C13" s="243">
        <f>IF($E13="","",VLOOKUP($E13,'65elő'!$A$7:$O$22,15))</f>
      </c>
      <c r="D13" s="243">
        <f>IF($E13="","",VLOOKUP($E13,'65elő'!$A$7:$O$22,5))</f>
      </c>
      <c r="E13" s="388"/>
      <c r="F13" s="425" t="s">
        <v>170</v>
      </c>
      <c r="G13" s="425" t="s">
        <v>116</v>
      </c>
      <c r="H13" s="294"/>
      <c r="I13" s="294">
        <f>IF($E13="","",VLOOKUP($E13,'65elő'!$A$7:$O$22,4))</f>
      </c>
      <c r="J13" s="261"/>
      <c r="K13" s="247" t="s">
        <v>171</v>
      </c>
      <c r="L13" s="247"/>
      <c r="M13" s="247"/>
      <c r="N13" s="259"/>
      <c r="O13" s="257"/>
      <c r="P13" s="257"/>
      <c r="Q13" s="126"/>
      <c r="R13" s="127"/>
      <c r="S13" s="128"/>
      <c r="T13" s="128"/>
      <c r="U13" s="272" t="str">
        <f>Birók!P27</f>
        <v> </v>
      </c>
      <c r="V13" s="128"/>
      <c r="W13" s="128"/>
      <c r="X13" s="128"/>
      <c r="Y13" s="359"/>
      <c r="Z13" s="359"/>
      <c r="AA13" s="359" t="s">
        <v>97</v>
      </c>
      <c r="AB13" s="363">
        <v>10</v>
      </c>
      <c r="AC13" s="363">
        <v>6</v>
      </c>
      <c r="AD13" s="363">
        <v>3</v>
      </c>
      <c r="AE13" s="363">
        <v>1</v>
      </c>
      <c r="AF13" s="363">
        <v>0</v>
      </c>
      <c r="AG13" s="363">
        <v>0</v>
      </c>
      <c r="AH13" s="363">
        <v>0</v>
      </c>
      <c r="AI13" s="341"/>
      <c r="AJ13" s="341"/>
      <c r="AK13" s="341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455"/>
      <c r="C14" s="248"/>
      <c r="D14" s="248"/>
      <c r="E14" s="389"/>
      <c r="F14" s="390"/>
      <c r="G14" s="390"/>
      <c r="H14" s="391"/>
      <c r="I14" s="390"/>
      <c r="J14" s="255"/>
      <c r="K14" s="247"/>
      <c r="L14" s="247"/>
      <c r="M14" s="398" t="s">
        <v>0</v>
      </c>
      <c r="N14" s="131" t="s">
        <v>166</v>
      </c>
      <c r="O14" s="251" t="str">
        <f>UPPER(IF(OR(N14="a",N14="as"),M10,IF(OR(N14="b",N14="bs"),M18,)))</f>
        <v>KOVÁCS S</v>
      </c>
      <c r="P14" s="256"/>
      <c r="Q14" s="126"/>
      <c r="R14" s="127"/>
      <c r="S14" s="128"/>
      <c r="T14" s="128"/>
      <c r="U14" s="272" t="str">
        <f>Birók!P28</f>
        <v> </v>
      </c>
      <c r="V14" s="128"/>
      <c r="W14" s="128"/>
      <c r="X14" s="128"/>
      <c r="Y14" s="359"/>
      <c r="Z14" s="359"/>
      <c r="AA14" s="359" t="s">
        <v>98</v>
      </c>
      <c r="AB14" s="363">
        <v>3</v>
      </c>
      <c r="AC14" s="363">
        <v>2</v>
      </c>
      <c r="AD14" s="363">
        <v>1</v>
      </c>
      <c r="AE14" s="363">
        <v>0</v>
      </c>
      <c r="AF14" s="363">
        <v>0</v>
      </c>
      <c r="AG14" s="363">
        <v>0</v>
      </c>
      <c r="AH14" s="363">
        <v>0</v>
      </c>
      <c r="AI14" s="341"/>
      <c r="AJ14" s="341"/>
      <c r="AK14" s="341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3">
        <v>5</v>
      </c>
      <c r="B15" s="454">
        <v>60</v>
      </c>
      <c r="C15" s="243">
        <f>IF($E15="","",VLOOKUP($E15,'65elő'!$A$7:$O$22,15))</f>
        <v>0</v>
      </c>
      <c r="D15" s="243">
        <f>IF($E15="","",VLOOKUP($E15,'65elő'!$A$7:$O$22,5))</f>
        <v>540607</v>
      </c>
      <c r="E15" s="388">
        <v>4</v>
      </c>
      <c r="F15" s="294" t="str">
        <f>UPPER(IF($E15="","",VLOOKUP($E15,'65elő'!$A$7:$O$22,2)))</f>
        <v>SCHERER</v>
      </c>
      <c r="G15" s="294" t="str">
        <f>IF($E15="","",VLOOKUP($E15,'65elő'!$A$7:$O$22,3))</f>
        <v>Ferenc</v>
      </c>
      <c r="H15" s="294"/>
      <c r="I15" s="294">
        <f>IF($E15="","",VLOOKUP($E15,'65elő'!$A$7:$O$22,4))</f>
        <v>0</v>
      </c>
      <c r="J15" s="263"/>
      <c r="K15" s="247"/>
      <c r="L15" s="247"/>
      <c r="M15" s="247"/>
      <c r="N15" s="259"/>
      <c r="O15" s="247" t="s">
        <v>195</v>
      </c>
      <c r="P15" s="292"/>
      <c r="Q15" s="184"/>
      <c r="R15" s="127"/>
      <c r="S15" s="128"/>
      <c r="T15" s="128"/>
      <c r="U15" s="272" t="str">
        <f>Birók!P29</f>
        <v> </v>
      </c>
      <c r="V15" s="128"/>
      <c r="W15" s="128"/>
      <c r="X15" s="128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41"/>
      <c r="AJ15" s="341"/>
      <c r="AK15" s="341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455"/>
      <c r="C16" s="248"/>
      <c r="D16" s="248"/>
      <c r="E16" s="389"/>
      <c r="F16" s="390"/>
      <c r="G16" s="390"/>
      <c r="H16" s="391"/>
      <c r="I16" s="398" t="s">
        <v>0</v>
      </c>
      <c r="J16" s="130" t="s">
        <v>172</v>
      </c>
      <c r="K16" s="251" t="str">
        <f>UPPER(IF(OR(J16="a",J16="as"),F15,IF(OR(J16="b",J16="bs"),F17,)))</f>
        <v>BAJKA</v>
      </c>
      <c r="L16" s="251"/>
      <c r="M16" s="247"/>
      <c r="N16" s="259"/>
      <c r="O16" s="398"/>
      <c r="P16" s="292"/>
      <c r="Q16" s="184"/>
      <c r="R16" s="127"/>
      <c r="S16" s="128"/>
      <c r="T16" s="128"/>
      <c r="U16" s="273" t="str">
        <f>Birók!P30</f>
        <v>Egyik sem</v>
      </c>
      <c r="V16" s="128"/>
      <c r="W16" s="128"/>
      <c r="X16" s="128"/>
      <c r="Y16" s="359"/>
      <c r="Z16" s="359"/>
      <c r="AA16" s="359" t="s">
        <v>64</v>
      </c>
      <c r="AB16" s="363">
        <v>150</v>
      </c>
      <c r="AC16" s="363">
        <v>120</v>
      </c>
      <c r="AD16" s="363">
        <v>90</v>
      </c>
      <c r="AE16" s="363">
        <v>60</v>
      </c>
      <c r="AF16" s="363">
        <v>40</v>
      </c>
      <c r="AG16" s="363">
        <v>25</v>
      </c>
      <c r="AH16" s="363">
        <v>15</v>
      </c>
      <c r="AI16" s="341"/>
      <c r="AJ16" s="341"/>
      <c r="AK16" s="341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454">
        <v>90</v>
      </c>
      <c r="C17" s="243">
        <f>IF($E17="","",VLOOKUP($E17,'65elő'!$A$7:$O$22,15))</f>
      </c>
      <c r="D17" s="243">
        <f>IF($E17="","",VLOOKUP($E17,'65elő'!$A$7:$O$22,5))</f>
      </c>
      <c r="E17" s="388"/>
      <c r="F17" s="425" t="s">
        <v>124</v>
      </c>
      <c r="G17" s="425" t="s">
        <v>125</v>
      </c>
      <c r="H17" s="294"/>
      <c r="I17" s="294">
        <f>IF($E17="","",VLOOKUP($E17,'65elő'!$A$7:$O$22,4))</f>
      </c>
      <c r="J17" s="253"/>
      <c r="K17" s="247" t="s">
        <v>173</v>
      </c>
      <c r="L17" s="254"/>
      <c r="M17" s="247"/>
      <c r="N17" s="259"/>
      <c r="O17" s="257"/>
      <c r="P17" s="292"/>
      <c r="Q17" s="184"/>
      <c r="R17" s="127"/>
      <c r="S17" s="128"/>
      <c r="T17" s="128"/>
      <c r="U17" s="128"/>
      <c r="V17" s="128"/>
      <c r="W17" s="128"/>
      <c r="X17" s="128"/>
      <c r="Y17" s="359"/>
      <c r="Z17" s="359"/>
      <c r="AA17" s="359" t="s">
        <v>89</v>
      </c>
      <c r="AB17" s="363">
        <v>120</v>
      </c>
      <c r="AC17" s="363">
        <v>90</v>
      </c>
      <c r="AD17" s="363">
        <v>60</v>
      </c>
      <c r="AE17" s="363">
        <v>40</v>
      </c>
      <c r="AF17" s="363">
        <v>25</v>
      </c>
      <c r="AG17" s="363">
        <v>15</v>
      </c>
      <c r="AH17" s="363">
        <v>8</v>
      </c>
      <c r="AI17" s="341"/>
      <c r="AJ17" s="341"/>
      <c r="AK17" s="341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455"/>
      <c r="C18" s="248"/>
      <c r="D18" s="248"/>
      <c r="E18" s="389"/>
      <c r="F18" s="390"/>
      <c r="G18" s="390"/>
      <c r="H18" s="391"/>
      <c r="I18" s="390"/>
      <c r="J18" s="255"/>
      <c r="K18" s="398" t="s">
        <v>0</v>
      </c>
      <c r="L18" s="131" t="s">
        <v>172</v>
      </c>
      <c r="M18" s="251" t="str">
        <f>UPPER(IF(OR(L18="a",L18="as"),K16,IF(OR(L18="b",L18="bs"),K20,)))</f>
        <v>FÜLÖP</v>
      </c>
      <c r="N18" s="264"/>
      <c r="O18" s="257"/>
      <c r="P18" s="292"/>
      <c r="Q18" s="184"/>
      <c r="R18" s="127"/>
      <c r="S18" s="128"/>
      <c r="T18" s="128"/>
      <c r="U18" s="128"/>
      <c r="V18" s="128"/>
      <c r="W18" s="128"/>
      <c r="X18" s="128"/>
      <c r="Y18" s="359"/>
      <c r="Z18" s="359"/>
      <c r="AA18" s="359" t="s">
        <v>90</v>
      </c>
      <c r="AB18" s="363">
        <v>90</v>
      </c>
      <c r="AC18" s="363">
        <v>60</v>
      </c>
      <c r="AD18" s="363">
        <v>40</v>
      </c>
      <c r="AE18" s="363">
        <v>25</v>
      </c>
      <c r="AF18" s="363">
        <v>15</v>
      </c>
      <c r="AG18" s="363">
        <v>8</v>
      </c>
      <c r="AH18" s="363">
        <v>4</v>
      </c>
      <c r="AI18" s="341"/>
      <c r="AJ18" s="341"/>
      <c r="AK18" s="341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454">
        <v>60</v>
      </c>
      <c r="C19" s="243">
        <f>IF($E19="","",VLOOKUP($E19,'65elő'!$A$7:$O$22,15))</f>
        <v>0</v>
      </c>
      <c r="D19" s="243">
        <f>IF($E19="","",VLOOKUP($E19,'65elő'!$A$7:$O$22,5))</f>
        <v>0</v>
      </c>
      <c r="E19" s="388">
        <v>9</v>
      </c>
      <c r="F19" s="294" t="str">
        <f>UPPER(IF($E19="","",VLOOKUP($E19,'65elő'!$A$7:$O$22,2)))</f>
        <v>SOMOGYI</v>
      </c>
      <c r="G19" s="294" t="str">
        <f>IF($E19="","",VLOOKUP($E19,'65elő'!$A$7:$O$22,3))</f>
        <v>Gábor</v>
      </c>
      <c r="H19" s="294"/>
      <c r="I19" s="294">
        <f>IF($E19="","",VLOOKUP($E19,'65elő'!$A$7:$O$22,4))</f>
        <v>0</v>
      </c>
      <c r="J19" s="246"/>
      <c r="K19" s="247"/>
      <c r="L19" s="258"/>
      <c r="M19" s="247" t="s">
        <v>192</v>
      </c>
      <c r="N19" s="257"/>
      <c r="O19" s="257"/>
      <c r="P19" s="292"/>
      <c r="Q19" s="184"/>
      <c r="R19" s="127"/>
      <c r="S19" s="128"/>
      <c r="T19" s="128"/>
      <c r="U19" s="128"/>
      <c r="V19" s="128"/>
      <c r="W19" s="128"/>
      <c r="X19" s="128"/>
      <c r="Y19" s="359"/>
      <c r="Z19" s="359"/>
      <c r="AA19" s="359" t="s">
        <v>91</v>
      </c>
      <c r="AB19" s="363">
        <v>60</v>
      </c>
      <c r="AC19" s="363">
        <v>40</v>
      </c>
      <c r="AD19" s="363">
        <v>25</v>
      </c>
      <c r="AE19" s="363">
        <v>15</v>
      </c>
      <c r="AF19" s="363">
        <v>8</v>
      </c>
      <c r="AG19" s="363">
        <v>4</v>
      </c>
      <c r="AH19" s="363">
        <v>2</v>
      </c>
      <c r="AI19" s="341"/>
      <c r="AJ19" s="341"/>
      <c r="AK19" s="341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455"/>
      <c r="C20" s="248"/>
      <c r="D20" s="248"/>
      <c r="E20" s="157"/>
      <c r="F20" s="249"/>
      <c r="G20" s="249"/>
      <c r="H20" s="250"/>
      <c r="I20" s="398" t="s">
        <v>0</v>
      </c>
      <c r="J20" s="130" t="s">
        <v>172</v>
      </c>
      <c r="K20" s="251" t="str">
        <f>UPPER(IF(OR(J20="a",J20="as"),F19,IF(OR(J20="b",J20="bs"),F21,)))</f>
        <v>FÜLÖP</v>
      </c>
      <c r="L20" s="260"/>
      <c r="M20" s="247"/>
      <c r="N20" s="257"/>
      <c r="O20" s="257"/>
      <c r="P20" s="292"/>
      <c r="Q20" s="184"/>
      <c r="R20" s="127"/>
      <c r="S20" s="128"/>
      <c r="T20" s="128"/>
      <c r="U20" s="128"/>
      <c r="V20" s="128"/>
      <c r="W20" s="128"/>
      <c r="X20" s="128"/>
      <c r="Y20" s="359"/>
      <c r="Z20" s="359"/>
      <c r="AA20" s="359" t="s">
        <v>92</v>
      </c>
      <c r="AB20" s="363">
        <v>40</v>
      </c>
      <c r="AC20" s="363">
        <v>25</v>
      </c>
      <c r="AD20" s="363">
        <v>15</v>
      </c>
      <c r="AE20" s="363">
        <v>8</v>
      </c>
      <c r="AF20" s="363">
        <v>4</v>
      </c>
      <c r="AG20" s="363">
        <v>2</v>
      </c>
      <c r="AH20" s="363">
        <v>1</v>
      </c>
      <c r="AI20" s="341"/>
      <c r="AJ20" s="341"/>
      <c r="AK20" s="341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6">
        <v>8</v>
      </c>
      <c r="B21" s="454">
        <v>140</v>
      </c>
      <c r="C21" s="243">
        <f>IF($E21="","",VLOOKUP($E21,'65elő'!$A$7:$O$22,15))</f>
        <v>0</v>
      </c>
      <c r="D21" s="243">
        <f>IF($E21="","",VLOOKUP($E21,'65elő'!$A$7:$O$22,5))</f>
        <v>520210</v>
      </c>
      <c r="E21" s="244">
        <v>2</v>
      </c>
      <c r="F21" s="295" t="str">
        <f>UPPER(IF($E21="","",VLOOKUP($E21,'65elő'!$A$7:$O$22,2)))</f>
        <v>FÜLÖP</v>
      </c>
      <c r="G21" s="295" t="str">
        <f>IF($E21="","",VLOOKUP($E21,'65elő'!$A$7:$O$22,3))</f>
        <v>László</v>
      </c>
      <c r="H21" s="295"/>
      <c r="I21" s="295">
        <f>IF($E21="","",VLOOKUP($E21,'65elő'!$A$7:$O$22,4))</f>
        <v>0</v>
      </c>
      <c r="J21" s="261"/>
      <c r="K21" s="247" t="s">
        <v>171</v>
      </c>
      <c r="L21" s="247"/>
      <c r="M21" s="247"/>
      <c r="N21" s="257"/>
      <c r="O21" s="257"/>
      <c r="P21" s="292"/>
      <c r="Q21" s="184"/>
      <c r="R21" s="127"/>
      <c r="S21" s="128"/>
      <c r="T21" s="128"/>
      <c r="U21" s="128"/>
      <c r="V21" s="128"/>
      <c r="W21" s="128"/>
      <c r="X21" s="128"/>
      <c r="Y21" s="359"/>
      <c r="Z21" s="359"/>
      <c r="AA21" s="359" t="s">
        <v>93</v>
      </c>
      <c r="AB21" s="363">
        <v>25</v>
      </c>
      <c r="AC21" s="363">
        <v>15</v>
      </c>
      <c r="AD21" s="363">
        <v>10</v>
      </c>
      <c r="AE21" s="363">
        <v>6</v>
      </c>
      <c r="AF21" s="363">
        <v>3</v>
      </c>
      <c r="AG21" s="363">
        <v>1</v>
      </c>
      <c r="AH21" s="363">
        <v>0</v>
      </c>
      <c r="AI21" s="341"/>
      <c r="AJ21" s="341"/>
      <c r="AK21" s="341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6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9"/>
      <c r="Z22" s="359"/>
      <c r="AA22" s="359" t="s">
        <v>94</v>
      </c>
      <c r="AB22" s="363">
        <v>15</v>
      </c>
      <c r="AC22" s="363">
        <v>10</v>
      </c>
      <c r="AD22" s="363">
        <v>6</v>
      </c>
      <c r="AE22" s="363">
        <v>3</v>
      </c>
      <c r="AF22" s="363">
        <v>1</v>
      </c>
      <c r="AG22" s="363">
        <v>0</v>
      </c>
      <c r="AH22" s="363">
        <v>0</v>
      </c>
      <c r="AI22" s="341"/>
      <c r="AJ22" s="341"/>
      <c r="AK22" s="341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6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9"/>
      <c r="Z23" s="359"/>
      <c r="AA23" s="359" t="s">
        <v>95</v>
      </c>
      <c r="AB23" s="363">
        <v>10</v>
      </c>
      <c r="AC23" s="363">
        <v>6</v>
      </c>
      <c r="AD23" s="363">
        <v>3</v>
      </c>
      <c r="AE23" s="363">
        <v>1</v>
      </c>
      <c r="AF23" s="363">
        <v>0</v>
      </c>
      <c r="AG23" s="363">
        <v>0</v>
      </c>
      <c r="AH23" s="363">
        <v>0</v>
      </c>
      <c r="AI23" s="341"/>
      <c r="AJ23" s="341"/>
      <c r="AK23" s="341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7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9"/>
      <c r="Z24" s="359"/>
      <c r="AA24" s="359" t="s">
        <v>96</v>
      </c>
      <c r="AB24" s="363">
        <v>6</v>
      </c>
      <c r="AC24" s="363">
        <v>3</v>
      </c>
      <c r="AD24" s="363">
        <v>1</v>
      </c>
      <c r="AE24" s="363">
        <v>0</v>
      </c>
      <c r="AF24" s="363">
        <v>0</v>
      </c>
      <c r="AG24" s="363">
        <v>0</v>
      </c>
      <c r="AH24" s="363">
        <v>0</v>
      </c>
      <c r="AI24" s="341"/>
      <c r="AJ24" s="341"/>
      <c r="AK24" s="341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435" t="s">
        <v>136</v>
      </c>
      <c r="E25" s="157"/>
      <c r="F25" s="124" t="s">
        <v>137</v>
      </c>
      <c r="G25" s="124"/>
      <c r="H25" s="128" t="s">
        <v>168</v>
      </c>
      <c r="I25" s="124"/>
      <c r="J25" s="157"/>
      <c r="K25" s="266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9"/>
      <c r="Z25" s="359"/>
      <c r="AA25" s="359" t="s">
        <v>101</v>
      </c>
      <c r="AB25" s="363">
        <v>3</v>
      </c>
      <c r="AC25" s="363">
        <v>2</v>
      </c>
      <c r="AD25" s="363">
        <v>1</v>
      </c>
      <c r="AE25" s="363">
        <v>0</v>
      </c>
      <c r="AF25" s="363">
        <v>0</v>
      </c>
      <c r="AG25" s="363">
        <v>0</v>
      </c>
      <c r="AH25" s="363">
        <v>0</v>
      </c>
      <c r="AI25" s="341"/>
      <c r="AJ25" s="341"/>
      <c r="AK25" s="341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456" t="s">
        <v>199</v>
      </c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41"/>
      <c r="AJ26" s="341"/>
      <c r="AK26" s="341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6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41"/>
      <c r="AJ27" s="341"/>
      <c r="AK27" s="341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 t="s">
        <v>138</v>
      </c>
      <c r="E28" s="157"/>
      <c r="F28" s="436" t="s">
        <v>139</v>
      </c>
      <c r="G28" s="124"/>
      <c r="H28" s="124" t="s">
        <v>169</v>
      </c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0"/>
      <c r="AJ28" s="370"/>
      <c r="AK28" s="370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457" t="s">
        <v>199</v>
      </c>
      <c r="E29" s="157"/>
      <c r="F29" s="124"/>
      <c r="G29" s="124"/>
      <c r="H29" s="128"/>
      <c r="I29" s="124"/>
      <c r="J29" s="157"/>
      <c r="K29" s="124"/>
      <c r="L29" s="124"/>
      <c r="M29" s="266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0"/>
      <c r="AJ29" s="370"/>
      <c r="AK29" s="370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0"/>
      <c r="AJ30" s="370"/>
      <c r="AK30" s="370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6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0"/>
      <c r="AJ31" s="370"/>
      <c r="AK31" s="370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7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0"/>
      <c r="AJ32" s="370"/>
      <c r="AK32" s="370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6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0"/>
      <c r="AJ33" s="370"/>
      <c r="AK33" s="370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0"/>
      <c r="AJ34" s="370"/>
      <c r="AK34" s="370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6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0"/>
      <c r="AJ35" s="370"/>
      <c r="AK35" s="370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6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0"/>
      <c r="AJ36" s="370"/>
      <c r="AK36" s="370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2"/>
      <c r="G37" s="262"/>
      <c r="H37" s="265"/>
      <c r="I37" s="247"/>
      <c r="J37" s="255"/>
      <c r="K37" s="247"/>
      <c r="L37" s="247"/>
      <c r="M37" s="247"/>
      <c r="N37" s="257"/>
      <c r="O37" s="257"/>
      <c r="P37" s="257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0"/>
      <c r="AJ37" s="370"/>
      <c r="AK37" s="370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6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0"/>
      <c r="AJ38" s="370"/>
      <c r="AK38" s="370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6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0"/>
      <c r="AJ39" s="370"/>
      <c r="AK39" s="370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7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0"/>
      <c r="AJ40" s="370"/>
      <c r="AK40" s="370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6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0"/>
      <c r="AJ41" s="370"/>
      <c r="AK41" s="370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0"/>
      <c r="AJ42" s="370"/>
      <c r="AK42" s="370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6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0"/>
      <c r="AJ43" s="370"/>
      <c r="AK43" s="370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0"/>
      <c r="AJ44" s="370"/>
      <c r="AK44" s="370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6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0"/>
      <c r="AJ45" s="370"/>
      <c r="AK45" s="370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0"/>
      <c r="AJ46" s="370"/>
      <c r="AK46" s="370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6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0"/>
      <c r="AJ47" s="370"/>
      <c r="AK47" s="370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7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0"/>
      <c r="AJ48" s="370"/>
      <c r="AK48" s="370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6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0"/>
      <c r="AJ49" s="370"/>
      <c r="AK49" s="370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0"/>
      <c r="AJ50" s="370"/>
      <c r="AK50" s="370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6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0"/>
      <c r="AJ51" s="370"/>
      <c r="AK51" s="370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6"/>
      <c r="B52" s="124"/>
      <c r="C52" s="124"/>
      <c r="D52" s="124"/>
      <c r="E52" s="157"/>
      <c r="F52" s="402"/>
      <c r="G52" s="402"/>
      <c r="H52" s="402"/>
      <c r="I52" s="402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0"/>
      <c r="AJ52" s="370"/>
      <c r="AK52" s="370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03"/>
      <c r="G53" s="403"/>
      <c r="H53" s="403"/>
      <c r="I53" s="403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0"/>
      <c r="AJ53" s="370"/>
      <c r="AK53" s="370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1"/>
      <c r="AJ54" s="371"/>
      <c r="AK54" s="371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5" t="s">
        <v>44</v>
      </c>
      <c r="B55" s="286"/>
      <c r="C55" s="287"/>
      <c r="D55" s="288"/>
      <c r="E55" s="149">
        <v>1</v>
      </c>
      <c r="F55" s="86" t="str">
        <f>IF(E55&gt;$R$62,,UPPER(VLOOKUP(E55,'65elő'!$A$7:$Q$134,2)))</f>
        <v>RAKONCZAY</v>
      </c>
      <c r="G55" s="149"/>
      <c r="H55" s="86"/>
      <c r="I55" s="85"/>
      <c r="J55" s="277" t="s">
        <v>5</v>
      </c>
      <c r="K55" s="84"/>
      <c r="L55" s="278"/>
      <c r="M55" s="84"/>
      <c r="N55" s="279"/>
      <c r="O55" s="280" t="s">
        <v>46</v>
      </c>
      <c r="P55" s="281"/>
      <c r="Q55" s="281"/>
      <c r="R55" s="279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1"/>
      <c r="AJ55" s="371"/>
      <c r="AK55" s="371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89" t="s">
        <v>53</v>
      </c>
      <c r="B56" s="159"/>
      <c r="C56" s="290"/>
      <c r="D56" s="291"/>
      <c r="E56" s="149">
        <v>2</v>
      </c>
      <c r="F56" s="86" t="str">
        <f>IF(E56&gt;$R$62,,UPPER(VLOOKUP(E56,'65elő'!$A$7:$Q$134,2)))</f>
        <v>FÜLÖP</v>
      </c>
      <c r="G56" s="149"/>
      <c r="H56" s="86"/>
      <c r="I56" s="85"/>
      <c r="J56" s="277" t="s">
        <v>6</v>
      </c>
      <c r="K56" s="84"/>
      <c r="L56" s="278"/>
      <c r="M56" s="84"/>
      <c r="N56" s="279"/>
      <c r="O56" s="152"/>
      <c r="P56" s="282"/>
      <c r="Q56" s="159"/>
      <c r="R56" s="283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1"/>
      <c r="AJ56" s="371"/>
      <c r="AK56" s="371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7" t="s">
        <v>7</v>
      </c>
      <c r="K57" s="84"/>
      <c r="L57" s="278"/>
      <c r="M57" s="84"/>
      <c r="N57" s="279"/>
      <c r="O57" s="280" t="s">
        <v>47</v>
      </c>
      <c r="P57" s="281"/>
      <c r="Q57" s="281"/>
      <c r="R57" s="279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1"/>
      <c r="AJ57" s="371"/>
      <c r="AK57" s="371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7" t="s">
        <v>8</v>
      </c>
      <c r="K58" s="84"/>
      <c r="L58" s="278"/>
      <c r="M58" s="84"/>
      <c r="N58" s="279"/>
      <c r="O58" s="84"/>
      <c r="P58" s="278"/>
      <c r="Q58" s="84"/>
      <c r="R58" s="279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1"/>
      <c r="AJ58" s="371"/>
      <c r="AK58" s="371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7" t="s">
        <v>9</v>
      </c>
      <c r="K59" s="84"/>
      <c r="L59" s="278"/>
      <c r="M59" s="84"/>
      <c r="N59" s="279"/>
      <c r="O59" s="159"/>
      <c r="P59" s="282"/>
      <c r="Q59" s="159"/>
      <c r="R59" s="283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1"/>
      <c r="AJ59" s="371"/>
      <c r="AK59" s="371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7" t="s">
        <v>10</v>
      </c>
      <c r="K60" s="84"/>
      <c r="L60" s="278"/>
      <c r="M60" s="84"/>
      <c r="N60" s="279"/>
      <c r="O60" s="280" t="s">
        <v>33</v>
      </c>
      <c r="P60" s="281"/>
      <c r="Q60" s="281"/>
      <c r="R60" s="279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1"/>
      <c r="AJ60" s="371"/>
      <c r="AK60" s="371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7" t="s">
        <v>11</v>
      </c>
      <c r="K61" s="84"/>
      <c r="L61" s="278"/>
      <c r="M61" s="84"/>
      <c r="N61" s="279"/>
      <c r="O61" s="84"/>
      <c r="P61" s="278"/>
      <c r="Q61" s="84"/>
      <c r="R61" s="279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1"/>
      <c r="AJ61" s="371"/>
      <c r="AK61" s="371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4" t="s">
        <v>12</v>
      </c>
      <c r="K62" s="159"/>
      <c r="L62" s="282"/>
      <c r="M62" s="159"/>
      <c r="N62" s="283"/>
      <c r="O62" s="159" t="str">
        <f>R4</f>
        <v>Kádár László</v>
      </c>
      <c r="P62" s="282"/>
      <c r="Q62" s="159"/>
      <c r="R62" s="155">
        <f>MIN(4,'65elő'!Q5)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1"/>
      <c r="AJ62" s="371"/>
      <c r="AK62" s="371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L63" s="274"/>
      <c r="AM63" s="274"/>
      <c r="AN63" s="274"/>
      <c r="AO63" s="274"/>
      <c r="AP63" s="274"/>
      <c r="AQ63" s="274"/>
      <c r="AR63" s="274"/>
      <c r="AS63" s="274"/>
    </row>
    <row r="64" spans="20:45" ht="12.75"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L64" s="274"/>
      <c r="AM64" s="274"/>
      <c r="AN64" s="274"/>
      <c r="AO64" s="274"/>
      <c r="AP64" s="274"/>
      <c r="AQ64" s="274"/>
      <c r="AR64" s="274"/>
      <c r="AS64" s="274"/>
    </row>
    <row r="65" spans="20:45" ht="12.75"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L65" s="274"/>
      <c r="AM65" s="274"/>
      <c r="AN65" s="274"/>
      <c r="AO65" s="274"/>
      <c r="AP65" s="274"/>
      <c r="AQ65" s="274"/>
      <c r="AR65" s="274"/>
      <c r="AS65" s="274"/>
    </row>
    <row r="66" spans="20:45" ht="12.75"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L66" s="274"/>
      <c r="AM66" s="274"/>
      <c r="AN66" s="274"/>
      <c r="AO66" s="274"/>
      <c r="AP66" s="274"/>
      <c r="AQ66" s="274"/>
      <c r="AR66" s="274"/>
      <c r="AS66" s="274"/>
    </row>
    <row r="67" spans="20:45" ht="12.75"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L67" s="274"/>
      <c r="AM67" s="274"/>
      <c r="AN67" s="274"/>
      <c r="AO67" s="274"/>
      <c r="AP67" s="274"/>
      <c r="AQ67" s="274"/>
      <c r="AR67" s="274"/>
      <c r="AS67" s="274"/>
    </row>
    <row r="68" spans="20:45" ht="12.75"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L68" s="274"/>
      <c r="AM68" s="274"/>
      <c r="AN68" s="274"/>
      <c r="AO68" s="274"/>
      <c r="AP68" s="274"/>
      <c r="AQ68" s="274"/>
      <c r="AR68" s="274"/>
      <c r="AS68" s="274"/>
    </row>
    <row r="69" spans="20:45" ht="12.75"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L69" s="274"/>
      <c r="AM69" s="274"/>
      <c r="AN69" s="274"/>
      <c r="AO69" s="274"/>
      <c r="AP69" s="274"/>
      <c r="AQ69" s="274"/>
      <c r="AR69" s="274"/>
      <c r="AS69" s="274"/>
    </row>
    <row r="70" spans="20:45" ht="12.75"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L70" s="274"/>
      <c r="AM70" s="274"/>
      <c r="AN70" s="274"/>
      <c r="AO70" s="274"/>
      <c r="AP70" s="274"/>
      <c r="AQ70" s="274"/>
      <c r="AR70" s="274"/>
      <c r="AS70" s="274"/>
    </row>
    <row r="71" spans="20:45" ht="12.75"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L71" s="274"/>
      <c r="AM71" s="274"/>
      <c r="AN71" s="274"/>
      <c r="AO71" s="274"/>
      <c r="AP71" s="274"/>
      <c r="AQ71" s="274"/>
      <c r="AR71" s="274"/>
      <c r="AS71" s="274"/>
    </row>
    <row r="72" spans="20:45" ht="12.75"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L72" s="274"/>
      <c r="AM72" s="274"/>
      <c r="AN72" s="274"/>
      <c r="AO72" s="274"/>
      <c r="AP72" s="274"/>
      <c r="AQ72" s="274"/>
      <c r="AR72" s="274"/>
      <c r="AS72" s="274"/>
    </row>
    <row r="73" spans="20:45" ht="12.75"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L73" s="274"/>
      <c r="AM73" s="274"/>
      <c r="AN73" s="274"/>
      <c r="AO73" s="274"/>
      <c r="AP73" s="274"/>
      <c r="AQ73" s="274"/>
      <c r="AR73" s="274"/>
      <c r="AS73" s="274"/>
    </row>
    <row r="74" spans="20:45" ht="12.75"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L74" s="274"/>
      <c r="AM74" s="274"/>
      <c r="AN74" s="274"/>
      <c r="AO74" s="274"/>
      <c r="AP74" s="274"/>
      <c r="AQ74" s="274"/>
      <c r="AR74" s="274"/>
      <c r="AS74" s="274"/>
    </row>
    <row r="75" spans="20:45" ht="12.75"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L75" s="274"/>
      <c r="AM75" s="274"/>
      <c r="AN75" s="274"/>
      <c r="AO75" s="274"/>
      <c r="AP75" s="274"/>
      <c r="AQ75" s="274"/>
      <c r="AR75" s="274"/>
      <c r="AS75" s="274"/>
    </row>
    <row r="76" spans="20:45" ht="12.75"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L76" s="274"/>
      <c r="AM76" s="274"/>
      <c r="AN76" s="274"/>
      <c r="AO76" s="274"/>
      <c r="AP76" s="274"/>
      <c r="AQ76" s="274"/>
      <c r="AR76" s="274"/>
      <c r="AS76" s="274"/>
    </row>
    <row r="77" spans="20:45" ht="12.75"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L77" s="274"/>
      <c r="AM77" s="274"/>
      <c r="AN77" s="274"/>
      <c r="AO77" s="274"/>
      <c r="AP77" s="274"/>
      <c r="AQ77" s="274"/>
      <c r="AR77" s="274"/>
      <c r="AS77" s="274"/>
    </row>
    <row r="78" spans="20:45" ht="12.75"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L78" s="274"/>
      <c r="AM78" s="274"/>
      <c r="AN78" s="274"/>
      <c r="AO78" s="274"/>
      <c r="AP78" s="274"/>
      <c r="AQ78" s="274"/>
      <c r="AR78" s="274"/>
      <c r="AS78" s="274"/>
    </row>
    <row r="79" spans="20:45" ht="12.75"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L79" s="274"/>
      <c r="AM79" s="274"/>
      <c r="AN79" s="274"/>
      <c r="AO79" s="274"/>
      <c r="AP79" s="274"/>
      <c r="AQ79" s="274"/>
      <c r="AR79" s="274"/>
      <c r="AS79" s="274"/>
    </row>
    <row r="80" spans="20:45" ht="12.75"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L80" s="274"/>
      <c r="AM80" s="274"/>
      <c r="AN80" s="274"/>
      <c r="AO80" s="274"/>
      <c r="AP80" s="274"/>
      <c r="AQ80" s="274"/>
      <c r="AR80" s="274"/>
      <c r="AS80" s="274"/>
    </row>
    <row r="81" spans="20:45" ht="12.75"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L81" s="274"/>
      <c r="AM81" s="274"/>
      <c r="AN81" s="274"/>
      <c r="AO81" s="274"/>
      <c r="AP81" s="274"/>
      <c r="AQ81" s="274"/>
      <c r="AR81" s="274"/>
      <c r="AS81" s="274"/>
    </row>
    <row r="82" spans="20:45" ht="12.75"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L82" s="274"/>
      <c r="AM82" s="274"/>
      <c r="AN82" s="274"/>
      <c r="AO82" s="274"/>
      <c r="AP82" s="274"/>
      <c r="AQ82" s="274"/>
      <c r="AR82" s="274"/>
      <c r="AS82" s="274"/>
    </row>
    <row r="83" spans="20:45" ht="12.75"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L83" s="274"/>
      <c r="AM83" s="274"/>
      <c r="AN83" s="274"/>
      <c r="AO83" s="274"/>
      <c r="AP83" s="274"/>
      <c r="AQ83" s="274"/>
      <c r="AR83" s="274"/>
      <c r="AS83" s="274"/>
    </row>
    <row r="84" spans="20:45" ht="12.75"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L84" s="274"/>
      <c r="AM84" s="274"/>
      <c r="AN84" s="274"/>
      <c r="AO84" s="274"/>
      <c r="AP84" s="274"/>
      <c r="AQ84" s="274"/>
      <c r="AR84" s="274"/>
      <c r="AS84" s="274"/>
    </row>
    <row r="85" spans="20:45" ht="12.75"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L85" s="274"/>
      <c r="AM85" s="274"/>
      <c r="AN85" s="274"/>
      <c r="AO85" s="274"/>
      <c r="AP85" s="274"/>
      <c r="AQ85" s="274"/>
      <c r="AR85" s="274"/>
      <c r="AS85" s="274"/>
    </row>
    <row r="86" spans="20:45" ht="12.75"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L86" s="274"/>
      <c r="AM86" s="274"/>
      <c r="AN86" s="274"/>
      <c r="AO86" s="274"/>
      <c r="AP86" s="274"/>
      <c r="AQ86" s="274"/>
      <c r="AR86" s="274"/>
      <c r="AS86" s="274"/>
    </row>
    <row r="87" spans="20:45" ht="12.75"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L87" s="274"/>
      <c r="AM87" s="274"/>
      <c r="AN87" s="274"/>
      <c r="AO87" s="274"/>
      <c r="AP87" s="274"/>
      <c r="AQ87" s="274"/>
      <c r="AR87" s="274"/>
      <c r="AS87" s="274"/>
    </row>
    <row r="88" spans="20:45" ht="12.75"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L88" s="274"/>
      <c r="AM88" s="274"/>
      <c r="AN88" s="274"/>
      <c r="AO88" s="274"/>
      <c r="AP88" s="274"/>
      <c r="AQ88" s="274"/>
      <c r="AR88" s="274"/>
      <c r="AS88" s="274"/>
    </row>
    <row r="89" spans="20:45" ht="12.75"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L89" s="274"/>
      <c r="AM89" s="274"/>
      <c r="AN89" s="274"/>
      <c r="AO89" s="274"/>
      <c r="AP89" s="274"/>
      <c r="AQ89" s="274"/>
      <c r="AR89" s="274"/>
      <c r="AS89" s="274"/>
    </row>
    <row r="90" spans="20:45" ht="12.75"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L90" s="274"/>
      <c r="AM90" s="274"/>
      <c r="AN90" s="274"/>
      <c r="AO90" s="274"/>
      <c r="AP90" s="274"/>
      <c r="AQ90" s="274"/>
      <c r="AR90" s="274"/>
      <c r="AS90" s="274"/>
    </row>
    <row r="91" spans="20:45" ht="12.75"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L91" s="274"/>
      <c r="AM91" s="274"/>
      <c r="AN91" s="274"/>
      <c r="AO91" s="274"/>
      <c r="AP91" s="274"/>
      <c r="AQ91" s="274"/>
      <c r="AR91" s="274"/>
      <c r="AS91" s="274"/>
    </row>
    <row r="92" spans="20:45" ht="12.75"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L92" s="274"/>
      <c r="AM92" s="274"/>
      <c r="AN92" s="274"/>
      <c r="AO92" s="274"/>
      <c r="AP92" s="274"/>
      <c r="AQ92" s="274"/>
      <c r="AR92" s="274"/>
      <c r="AS92" s="274"/>
    </row>
    <row r="93" spans="20:45" ht="12.75"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L93" s="274"/>
      <c r="AM93" s="274"/>
      <c r="AN93" s="274"/>
      <c r="AO93" s="274"/>
      <c r="AP93" s="274"/>
      <c r="AQ93" s="274"/>
      <c r="AR93" s="274"/>
      <c r="AS93" s="274"/>
    </row>
    <row r="94" spans="20:45" ht="12.75"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L94" s="274"/>
      <c r="AM94" s="274"/>
      <c r="AN94" s="274"/>
      <c r="AO94" s="274"/>
      <c r="AP94" s="274"/>
      <c r="AQ94" s="274"/>
      <c r="AR94" s="274"/>
      <c r="AS94" s="274"/>
    </row>
    <row r="95" spans="20:45" ht="12.75"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L95" s="274"/>
      <c r="AM95" s="274"/>
      <c r="AN95" s="274"/>
      <c r="AO95" s="274"/>
      <c r="AP95" s="274"/>
      <c r="AQ95" s="274"/>
      <c r="AR95" s="274"/>
      <c r="AS95" s="274"/>
    </row>
    <row r="96" spans="20:45" ht="12.75"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L96" s="274"/>
      <c r="AM96" s="274"/>
      <c r="AN96" s="274"/>
      <c r="AO96" s="274"/>
      <c r="AP96" s="274"/>
      <c r="AQ96" s="274"/>
      <c r="AR96" s="274"/>
      <c r="AS96" s="274"/>
    </row>
    <row r="97" spans="20:45" ht="12.75"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L97" s="274"/>
      <c r="AM97" s="274"/>
      <c r="AN97" s="274"/>
      <c r="AO97" s="274"/>
      <c r="AP97" s="274"/>
      <c r="AQ97" s="274"/>
      <c r="AR97" s="274"/>
      <c r="AS97" s="274"/>
    </row>
    <row r="98" spans="20:45" ht="12.75"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L98" s="274"/>
      <c r="AM98" s="274"/>
      <c r="AN98" s="274"/>
      <c r="AO98" s="274"/>
      <c r="AP98" s="274"/>
      <c r="AQ98" s="274"/>
      <c r="AR98" s="274"/>
      <c r="AS98" s="274"/>
    </row>
    <row r="99" spans="20:45" ht="12.75"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L99" s="274"/>
      <c r="AM99" s="274"/>
      <c r="AN99" s="274"/>
      <c r="AO99" s="274"/>
      <c r="AP99" s="274"/>
      <c r="AQ99" s="274"/>
      <c r="AR99" s="274"/>
      <c r="AS99" s="274"/>
    </row>
    <row r="100" spans="20:45" ht="12.75"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L100" s="274"/>
      <c r="AM100" s="274"/>
      <c r="AN100" s="274"/>
      <c r="AO100" s="274"/>
      <c r="AP100" s="274"/>
      <c r="AQ100" s="274"/>
      <c r="AR100" s="274"/>
      <c r="AS100" s="274"/>
    </row>
    <row r="101" spans="20:45" ht="12.75"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L101" s="274"/>
      <c r="AM101" s="274"/>
      <c r="AN101" s="274"/>
      <c r="AO101" s="274"/>
      <c r="AP101" s="274"/>
      <c r="AQ101" s="274"/>
      <c r="AR101" s="274"/>
      <c r="AS101" s="274"/>
    </row>
    <row r="102" spans="20:45" ht="12.75"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L102" s="274"/>
      <c r="AM102" s="274"/>
      <c r="AN102" s="274"/>
      <c r="AO102" s="274"/>
      <c r="AP102" s="274"/>
      <c r="AQ102" s="274"/>
      <c r="AR102" s="274"/>
      <c r="AS102" s="274"/>
    </row>
    <row r="103" spans="20:45" ht="12.75"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L103" s="274"/>
      <c r="AM103" s="274"/>
      <c r="AN103" s="274"/>
      <c r="AO103" s="274"/>
      <c r="AP103" s="274"/>
      <c r="AQ103" s="274"/>
      <c r="AR103" s="274"/>
      <c r="AS103" s="274"/>
    </row>
    <row r="104" spans="20:45" ht="12.75"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L104" s="274"/>
      <c r="AM104" s="274"/>
      <c r="AN104" s="274"/>
      <c r="AO104" s="274"/>
      <c r="AP104" s="274"/>
      <c r="AQ104" s="274"/>
      <c r="AR104" s="274"/>
      <c r="AS104" s="274"/>
    </row>
    <row r="105" spans="20:45" ht="12.75"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L105" s="274"/>
      <c r="AM105" s="274"/>
      <c r="AN105" s="274"/>
      <c r="AO105" s="274"/>
      <c r="AP105" s="274"/>
      <c r="AQ105" s="274"/>
      <c r="AR105" s="274"/>
      <c r="AS105" s="274"/>
    </row>
    <row r="106" spans="20:45" ht="12.75"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L106" s="274"/>
      <c r="AM106" s="274"/>
      <c r="AN106" s="274"/>
      <c r="AO106" s="274"/>
      <c r="AP106" s="274"/>
      <c r="AQ106" s="274"/>
      <c r="AR106" s="274"/>
      <c r="AS106" s="274"/>
    </row>
    <row r="107" spans="20:45" ht="12.75"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L107" s="274"/>
      <c r="AM107" s="274"/>
      <c r="AN107" s="274"/>
      <c r="AO107" s="274"/>
      <c r="AP107" s="274"/>
      <c r="AQ107" s="274"/>
      <c r="AR107" s="274"/>
      <c r="AS107" s="274"/>
    </row>
    <row r="108" spans="20:45" ht="12.75"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L108" s="274"/>
      <c r="AM108" s="274"/>
      <c r="AN108" s="274"/>
      <c r="AO108" s="274"/>
      <c r="AP108" s="274"/>
      <c r="AQ108" s="274"/>
      <c r="AR108" s="274"/>
      <c r="AS108" s="274"/>
    </row>
    <row r="109" spans="20:45" ht="12.75"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L109" s="274"/>
      <c r="AM109" s="274"/>
      <c r="AN109" s="274"/>
      <c r="AO109" s="274"/>
      <c r="AP109" s="274"/>
      <c r="AQ109" s="274"/>
      <c r="AR109" s="274"/>
      <c r="AS109" s="274"/>
    </row>
    <row r="110" spans="20:45" ht="12.75"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L110" s="274"/>
      <c r="AM110" s="274"/>
      <c r="AN110" s="274"/>
      <c r="AO110" s="274"/>
      <c r="AP110" s="274"/>
      <c r="AQ110" s="274"/>
      <c r="AR110" s="274"/>
      <c r="AS110" s="274"/>
    </row>
    <row r="111" spans="20:45" ht="12.75"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L111" s="274"/>
      <c r="AM111" s="274"/>
      <c r="AN111" s="274"/>
      <c r="AO111" s="274"/>
      <c r="AP111" s="274"/>
      <c r="AQ111" s="274"/>
      <c r="AR111" s="274"/>
      <c r="AS111" s="274"/>
    </row>
    <row r="112" spans="20:45" ht="12.75"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L112" s="274"/>
      <c r="AM112" s="274"/>
      <c r="AN112" s="274"/>
      <c r="AO112" s="274"/>
      <c r="AP112" s="274"/>
      <c r="AQ112" s="274"/>
      <c r="AR112" s="274"/>
      <c r="AS112" s="274"/>
    </row>
    <row r="113" spans="20:45" ht="12.75"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L113" s="274"/>
      <c r="AM113" s="274"/>
      <c r="AN113" s="274"/>
      <c r="AO113" s="274"/>
      <c r="AP113" s="274"/>
      <c r="AQ113" s="274"/>
      <c r="AR113" s="274"/>
      <c r="AS113" s="274"/>
    </row>
    <row r="114" spans="20:45" ht="12.75"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L114" s="274"/>
      <c r="AM114" s="274"/>
      <c r="AN114" s="274"/>
      <c r="AO114" s="274"/>
      <c r="AP114" s="274"/>
      <c r="AQ114" s="274"/>
      <c r="AR114" s="274"/>
      <c r="AS114" s="274"/>
    </row>
    <row r="115" spans="20:45" ht="12.75"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L115" s="274"/>
      <c r="AM115" s="274"/>
      <c r="AN115" s="274"/>
      <c r="AO115" s="274"/>
      <c r="AP115" s="274"/>
      <c r="AQ115" s="274"/>
      <c r="AR115" s="274"/>
      <c r="AS115" s="274"/>
    </row>
    <row r="116" spans="20:45" ht="12.75"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L116" s="274"/>
      <c r="AM116" s="274"/>
      <c r="AN116" s="274"/>
      <c r="AO116" s="274"/>
      <c r="AP116" s="274"/>
      <c r="AQ116" s="274"/>
      <c r="AR116" s="274"/>
      <c r="AS116" s="274"/>
    </row>
    <row r="117" spans="20:45" ht="12.75"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L117" s="274"/>
      <c r="AM117" s="274"/>
      <c r="AN117" s="274"/>
      <c r="AO117" s="274"/>
      <c r="AP117" s="274"/>
      <c r="AQ117" s="274"/>
      <c r="AR117" s="274"/>
      <c r="AS117" s="274"/>
    </row>
    <row r="118" spans="20:45" ht="12.75"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L118" s="274"/>
      <c r="AM118" s="274"/>
      <c r="AN118" s="274"/>
      <c r="AO118" s="274"/>
      <c r="AP118" s="274"/>
      <c r="AQ118" s="274"/>
      <c r="AR118" s="274"/>
      <c r="AS118" s="274"/>
    </row>
    <row r="119" spans="20:45" ht="12.75"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L119" s="274"/>
      <c r="AM119" s="274"/>
      <c r="AN119" s="274"/>
      <c r="AO119" s="274"/>
      <c r="AP119" s="274"/>
      <c r="AQ119" s="274"/>
      <c r="AR119" s="274"/>
      <c r="AS119" s="274"/>
    </row>
    <row r="120" spans="20:45" ht="12.75"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L120" s="274"/>
      <c r="AM120" s="274"/>
      <c r="AN120" s="274"/>
      <c r="AO120" s="274"/>
      <c r="AP120" s="274"/>
      <c r="AQ120" s="274"/>
      <c r="AR120" s="274"/>
      <c r="AS120" s="274"/>
    </row>
    <row r="121" spans="20:45" ht="12.75"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L121" s="274"/>
      <c r="AM121" s="274"/>
      <c r="AN121" s="274"/>
      <c r="AO121" s="274"/>
      <c r="AP121" s="274"/>
      <c r="AQ121" s="274"/>
      <c r="AR121" s="274"/>
      <c r="AS121" s="274"/>
    </row>
    <row r="122" spans="20:45" ht="12.75"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L122" s="274"/>
      <c r="AM122" s="274"/>
      <c r="AN122" s="274"/>
      <c r="AO122" s="274"/>
      <c r="AP122" s="274"/>
      <c r="AQ122" s="274"/>
      <c r="AR122" s="274"/>
      <c r="AS122" s="274"/>
    </row>
    <row r="123" spans="20:45" ht="12.75"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L123" s="274"/>
      <c r="AM123" s="274"/>
      <c r="AN123" s="274"/>
      <c r="AO123" s="274"/>
      <c r="AP123" s="274"/>
      <c r="AQ123" s="274"/>
      <c r="AR123" s="274"/>
      <c r="AS123" s="274"/>
    </row>
    <row r="124" spans="20:45" ht="12.75"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L124" s="274"/>
      <c r="AM124" s="274"/>
      <c r="AN124" s="274"/>
      <c r="AO124" s="274"/>
      <c r="AP124" s="274"/>
      <c r="AQ124" s="274"/>
      <c r="AR124" s="274"/>
      <c r="AS124" s="274"/>
    </row>
    <row r="125" spans="20:45" ht="12.75"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L125" s="274"/>
      <c r="AM125" s="274"/>
      <c r="AN125" s="274"/>
      <c r="AO125" s="274"/>
      <c r="AP125" s="274"/>
      <c r="AQ125" s="274"/>
      <c r="AR125" s="274"/>
      <c r="AS125" s="274"/>
    </row>
    <row r="126" spans="20:45" ht="12.75"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L126" s="274"/>
      <c r="AM126" s="274"/>
      <c r="AN126" s="274"/>
      <c r="AO126" s="274"/>
      <c r="AP126" s="274"/>
      <c r="AQ126" s="274"/>
      <c r="AR126" s="274"/>
      <c r="AS126" s="274"/>
    </row>
    <row r="127" spans="20:45" ht="12.75"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L127" s="274"/>
      <c r="AM127" s="274"/>
      <c r="AN127" s="274"/>
      <c r="AO127" s="274"/>
      <c r="AP127" s="274"/>
      <c r="AQ127" s="274"/>
      <c r="AR127" s="274"/>
      <c r="AS127" s="274"/>
    </row>
    <row r="128" spans="20:45" ht="12.75"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L128" s="274"/>
      <c r="AM128" s="274"/>
      <c r="AN128" s="274"/>
      <c r="AO128" s="274"/>
      <c r="AP128" s="274"/>
      <c r="AQ128" s="274"/>
      <c r="AR128" s="274"/>
      <c r="AS128" s="274"/>
    </row>
    <row r="129" spans="20:45" ht="12.75"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L129" s="274"/>
      <c r="AM129" s="274"/>
      <c r="AN129" s="274"/>
      <c r="AO129" s="274"/>
      <c r="AP129" s="274"/>
      <c r="AQ129" s="274"/>
      <c r="AR129" s="274"/>
      <c r="AS129" s="274"/>
    </row>
    <row r="130" spans="20:45" ht="12.75"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L130" s="274"/>
      <c r="AM130" s="274"/>
      <c r="AN130" s="274"/>
      <c r="AO130" s="274"/>
      <c r="AP130" s="274"/>
      <c r="AQ130" s="274"/>
      <c r="AR130" s="274"/>
      <c r="AS130" s="274"/>
    </row>
    <row r="131" spans="20:45" ht="12.75"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L131" s="274"/>
      <c r="AM131" s="274"/>
      <c r="AN131" s="274"/>
      <c r="AO131" s="274"/>
      <c r="AP131" s="274"/>
      <c r="AQ131" s="274"/>
      <c r="AR131" s="274"/>
      <c r="AS131" s="274"/>
    </row>
    <row r="132" spans="20:45" ht="12.75"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L132" s="274"/>
      <c r="AM132" s="274"/>
      <c r="AN132" s="274"/>
      <c r="AO132" s="274"/>
      <c r="AP132" s="274"/>
      <c r="AQ132" s="274"/>
      <c r="AR132" s="274"/>
      <c r="AS132" s="274"/>
    </row>
    <row r="133" spans="20:45" ht="12.75"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L133" s="274"/>
      <c r="AM133" s="274"/>
      <c r="AN133" s="274"/>
      <c r="AO133" s="274"/>
      <c r="AP133" s="274"/>
      <c r="AQ133" s="274"/>
      <c r="AR133" s="274"/>
      <c r="AS133" s="274"/>
    </row>
    <row r="134" spans="20:45" ht="12.75"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L134" s="274"/>
      <c r="AM134" s="274"/>
      <c r="AN134" s="274"/>
      <c r="AO134" s="274"/>
      <c r="AP134" s="274"/>
      <c r="AQ134" s="274"/>
      <c r="AR134" s="274"/>
      <c r="AS134" s="274"/>
    </row>
    <row r="135" spans="20:45" ht="12.75"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L135" s="274"/>
      <c r="AM135" s="274"/>
      <c r="AN135" s="274"/>
      <c r="AO135" s="274"/>
      <c r="AP135" s="274"/>
      <c r="AQ135" s="274"/>
      <c r="AR135" s="274"/>
      <c r="AS135" s="274"/>
    </row>
    <row r="136" spans="20:45" ht="12.75"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L136" s="274"/>
      <c r="AM136" s="274"/>
      <c r="AN136" s="274"/>
      <c r="AO136" s="274"/>
      <c r="AP136" s="274"/>
      <c r="AQ136" s="274"/>
      <c r="AR136" s="274"/>
      <c r="AS136" s="274"/>
    </row>
    <row r="137" spans="20:45" ht="12.75"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L137" s="274"/>
      <c r="AM137" s="274"/>
      <c r="AN137" s="274"/>
      <c r="AO137" s="274"/>
      <c r="AP137" s="274"/>
      <c r="AQ137" s="274"/>
      <c r="AR137" s="274"/>
      <c r="AS137" s="274"/>
    </row>
    <row r="138" spans="20:45" ht="12.75"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L138" s="274"/>
      <c r="AM138" s="274"/>
      <c r="AN138" s="274"/>
      <c r="AO138" s="274"/>
      <c r="AP138" s="274"/>
      <c r="AQ138" s="274"/>
      <c r="AR138" s="274"/>
      <c r="AS138" s="274"/>
    </row>
    <row r="139" spans="20:45" ht="12.75"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L139" s="274"/>
      <c r="AM139" s="274"/>
      <c r="AN139" s="274"/>
      <c r="AO139" s="274"/>
      <c r="AP139" s="274"/>
      <c r="AQ139" s="274"/>
      <c r="AR139" s="274"/>
      <c r="AS139" s="274"/>
    </row>
    <row r="140" spans="20:45" ht="12.75"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L140" s="274"/>
      <c r="AM140" s="274"/>
      <c r="AN140" s="274"/>
      <c r="AO140" s="274"/>
      <c r="AP140" s="274"/>
      <c r="AQ140" s="274"/>
      <c r="AR140" s="274"/>
      <c r="AS140" s="274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87" stopIfTrue="1">
      <formula>AND($O$1="CU",I8="Umpire")</formula>
    </cfRule>
    <cfRule type="expression" priority="6" dxfId="86" stopIfTrue="1">
      <formula>AND($O$1="CU",I8&lt;&gt;"Umpire",J8&lt;&gt;"")</formula>
    </cfRule>
    <cfRule type="expression" priority="7" dxfId="85" stopIfTrue="1">
      <formula>AND($O$1="CU",I8&lt;&gt;"Umpire")</formula>
    </cfRule>
  </conditionalFormatting>
  <conditionalFormatting sqref="E36 E30 E28 E26 E24 E22 E52 E50 E32 E48 E46 E44 E42 E40 E38 E34">
    <cfRule type="expression" priority="8" dxfId="89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91" operator="equal" stopIfTrue="1">
      <formula>"QA"</formula>
    </cfRule>
    <cfRule type="cellIs" priority="14" dxfId="91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89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87" stopIfTrue="1">
      <formula>AND($O$1="CU",O16="Umpire")</formula>
    </cfRule>
    <cfRule type="expression" priority="2" dxfId="86" stopIfTrue="1">
      <formula>AND($O$1="CU",O16&lt;&gt;"Umpire",P16&lt;&gt;"")</formula>
    </cfRule>
    <cfRule type="expression" priority="3" dxfId="85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0" sqref="E10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392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Budapest Város Szenior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08" t="str">
        <f>Altalanos!$B$8</f>
        <v>Fe70+</v>
      </c>
      <c r="D2" s="104"/>
      <c r="E2" s="202" t="s">
        <v>34</v>
      </c>
      <c r="F2" s="93"/>
      <c r="G2" s="93"/>
      <c r="H2" s="380"/>
      <c r="I2" s="38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5" t="s">
        <v>50</v>
      </c>
      <c r="B3" s="378"/>
      <c r="C3" s="378"/>
      <c r="D3" s="378"/>
      <c r="E3" s="378"/>
      <c r="F3" s="378"/>
      <c r="G3" s="378"/>
      <c r="H3" s="378"/>
      <c r="I3" s="37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4" t="s">
        <v>30</v>
      </c>
      <c r="I4" s="38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2020.07.10-12.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Kádár László</v>
      </c>
      <c r="I5" s="395"/>
      <c r="J5" s="111"/>
      <c r="K5" s="83"/>
      <c r="L5" s="83"/>
      <c r="M5" s="83"/>
      <c r="N5" s="111"/>
      <c r="O5" s="91"/>
      <c r="P5" s="91"/>
      <c r="Q5" s="399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81" t="s">
        <v>37</v>
      </c>
      <c r="I6" s="38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140</v>
      </c>
      <c r="C7" s="94" t="s">
        <v>141</v>
      </c>
      <c r="D7" s="95"/>
      <c r="E7" s="422">
        <v>460323</v>
      </c>
      <c r="F7" s="423"/>
      <c r="G7" s="424">
        <v>70</v>
      </c>
      <c r="H7" s="95"/>
      <c r="I7" s="95"/>
      <c r="J7" s="187"/>
      <c r="K7" s="185"/>
      <c r="L7" s="189"/>
      <c r="M7" s="185"/>
      <c r="N7" s="179"/>
      <c r="O7" s="405"/>
      <c r="P7" s="113"/>
      <c r="Q7" s="96"/>
    </row>
    <row r="8" spans="1:17" s="11" customFormat="1" ht="18.75" customHeight="1">
      <c r="A8" s="190">
        <v>2</v>
      </c>
      <c r="B8" s="94" t="s">
        <v>142</v>
      </c>
      <c r="C8" s="94" t="s">
        <v>132</v>
      </c>
      <c r="D8" s="95"/>
      <c r="E8" s="205" t="s">
        <v>143</v>
      </c>
      <c r="F8" s="112"/>
      <c r="G8" s="112">
        <v>70</v>
      </c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144</v>
      </c>
      <c r="C9" s="94" t="s">
        <v>145</v>
      </c>
      <c r="D9" s="95"/>
      <c r="E9" s="205" t="s">
        <v>146</v>
      </c>
      <c r="F9" s="112"/>
      <c r="G9" s="112">
        <v>70</v>
      </c>
      <c r="H9" s="95"/>
      <c r="I9" s="95"/>
      <c r="J9" s="187"/>
      <c r="K9" s="185"/>
      <c r="L9" s="189"/>
      <c r="M9" s="185"/>
      <c r="N9" s="179"/>
      <c r="O9" s="95"/>
      <c r="P9" s="387"/>
      <c r="Q9" s="213"/>
    </row>
    <row r="10" spans="1:17" s="11" customFormat="1" ht="18.75" customHeight="1">
      <c r="A10" s="190">
        <v>4</v>
      </c>
      <c r="B10" s="94" t="s">
        <v>147</v>
      </c>
      <c r="C10" s="94" t="s">
        <v>119</v>
      </c>
      <c r="D10" s="95"/>
      <c r="E10" s="422">
        <v>470721</v>
      </c>
      <c r="F10" s="423"/>
      <c r="G10" s="424">
        <v>70</v>
      </c>
      <c r="H10" s="95"/>
      <c r="I10" s="95"/>
      <c r="J10" s="187"/>
      <c r="K10" s="185"/>
      <c r="L10" s="189"/>
      <c r="M10" s="185"/>
      <c r="N10" s="179"/>
      <c r="O10" s="95"/>
      <c r="P10" s="386"/>
      <c r="Q10" s="383"/>
    </row>
    <row r="11" spans="1:17" s="11" customFormat="1" ht="18.75" customHeight="1">
      <c r="A11" s="190">
        <v>5</v>
      </c>
      <c r="B11" s="426" t="s">
        <v>148</v>
      </c>
      <c r="C11" s="426" t="s">
        <v>129</v>
      </c>
      <c r="D11" s="426"/>
      <c r="E11" s="427">
        <v>470204</v>
      </c>
      <c r="F11" s="427"/>
      <c r="G11" s="428">
        <v>70</v>
      </c>
      <c r="H11" s="95"/>
      <c r="I11" s="95"/>
      <c r="J11" s="187"/>
      <c r="K11" s="185"/>
      <c r="L11" s="189"/>
      <c r="M11" s="185"/>
      <c r="N11" s="179"/>
      <c r="O11" s="95"/>
      <c r="P11" s="386"/>
      <c r="Q11" s="383"/>
    </row>
    <row r="12" spans="1:17" s="11" customFormat="1" ht="18.75" customHeight="1">
      <c r="A12" s="190">
        <v>6</v>
      </c>
      <c r="B12" s="94"/>
      <c r="C12" s="94"/>
      <c r="D12" s="95"/>
      <c r="E12" s="205"/>
      <c r="F12" s="376"/>
      <c r="G12" s="377"/>
      <c r="H12" s="95"/>
      <c r="I12" s="95"/>
      <c r="J12" s="187"/>
      <c r="K12" s="185"/>
      <c r="L12" s="189"/>
      <c r="M12" s="185"/>
      <c r="N12" s="179"/>
      <c r="O12" s="95"/>
      <c r="P12" s="386"/>
      <c r="Q12" s="383"/>
    </row>
    <row r="13" spans="1:17" s="11" customFormat="1" ht="18.75" customHeight="1">
      <c r="A13" s="190">
        <v>7</v>
      </c>
      <c r="B13" s="94"/>
      <c r="C13" s="94"/>
      <c r="D13" s="95"/>
      <c r="E13" s="205"/>
      <c r="F13" s="376"/>
      <c r="G13" s="377"/>
      <c r="H13" s="95"/>
      <c r="I13" s="95"/>
      <c r="J13" s="187"/>
      <c r="K13" s="185"/>
      <c r="L13" s="189"/>
      <c r="M13" s="185"/>
      <c r="N13" s="179"/>
      <c r="O13" s="95"/>
      <c r="P13" s="386"/>
      <c r="Q13" s="383"/>
    </row>
    <row r="14" spans="1:17" s="11" customFormat="1" ht="18.75" customHeight="1">
      <c r="A14" s="190">
        <v>8</v>
      </c>
      <c r="B14" s="94"/>
      <c r="C14" s="94"/>
      <c r="D14" s="95"/>
      <c r="E14" s="205"/>
      <c r="F14" s="376"/>
      <c r="G14" s="377"/>
      <c r="H14" s="95"/>
      <c r="I14" s="95"/>
      <c r="J14" s="187"/>
      <c r="K14" s="185"/>
      <c r="L14" s="189"/>
      <c r="M14" s="185"/>
      <c r="N14" s="179"/>
      <c r="O14" s="95"/>
      <c r="P14" s="386"/>
      <c r="Q14" s="383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6"/>
      <c r="F28" s="396"/>
      <c r="G28" s="39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0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24" dxfId="6" stopIfTrue="1">
      <formula>AND(ROUNDDOWN(($A$4-E7)/365.25,0)&lt;=13,G7&lt;&gt;"OK")</formula>
    </cfRule>
    <cfRule type="expression" priority="25" dxfId="5" stopIfTrue="1">
      <formula>AND(ROUNDDOWN(($A$4-E7)/365.25,0)&lt;=14,G7&lt;&gt;"OK")</formula>
    </cfRule>
    <cfRule type="expression" priority="26" dxfId="4" stopIfTrue="1">
      <formula>AND(ROUNDDOWN(($A$4-E7)/365.25,0)&lt;=17,G7&lt;&gt;"OK")</formula>
    </cfRule>
  </conditionalFormatting>
  <conditionalFormatting sqref="J7:J156">
    <cfRule type="cellIs" priority="23" dxfId="20" operator="equal" stopIfTrue="1">
      <formula>"Z"</formula>
    </cfRule>
  </conditionalFormatting>
  <conditionalFormatting sqref="A7:D156">
    <cfRule type="expression" priority="22" dxfId="2" stopIfTrue="1">
      <formula>$Q7&gt;=1</formula>
    </cfRule>
  </conditionalFormatting>
  <conditionalFormatting sqref="E7:E14">
    <cfRule type="expression" priority="19" dxfId="6" stopIfTrue="1">
      <formula>AND(ROUNDDOWN(($A$4-E7)/365.25,0)&lt;=13,G7&lt;&gt;"OK")</formula>
    </cfRule>
    <cfRule type="expression" priority="20" dxfId="5" stopIfTrue="1">
      <formula>AND(ROUNDDOWN(($A$4-E7)/365.25,0)&lt;=14,G7&lt;&gt;"OK")</formula>
    </cfRule>
    <cfRule type="expression" priority="21" dxfId="4" stopIfTrue="1">
      <formula>AND(ROUNDDOWN(($A$4-E7)/365.25,0)&lt;=17,G7&lt;&gt;"OK")</formula>
    </cfRule>
  </conditionalFormatting>
  <conditionalFormatting sqref="J7:J14">
    <cfRule type="cellIs" priority="18" dxfId="20" operator="equal" stopIfTrue="1">
      <formula>"Z"</formula>
    </cfRule>
  </conditionalFormatting>
  <conditionalFormatting sqref="B7:D14">
    <cfRule type="expression" priority="17" dxfId="2" stopIfTrue="1">
      <formula>$Q7&gt;=1</formula>
    </cfRule>
  </conditionalFormatting>
  <conditionalFormatting sqref="E7:E14">
    <cfRule type="expression" priority="14" dxfId="6" stopIfTrue="1">
      <formula>AND(ROUNDDOWN(($A$4-E7)/365.25,0)&lt;=13,G7&lt;&gt;"OK")</formula>
    </cfRule>
    <cfRule type="expression" priority="15" dxfId="5" stopIfTrue="1">
      <formula>AND(ROUNDDOWN(($A$4-E7)/365.25,0)&lt;=14,G7&lt;&gt;"OK")</formula>
    </cfRule>
    <cfRule type="expression" priority="16" dxfId="4" stopIfTrue="1">
      <formula>AND(ROUNDDOWN(($A$4-E7)/365.25,0)&lt;=17,G7&lt;&gt;"OK")</formula>
    </cfRule>
  </conditionalFormatting>
  <conditionalFormatting sqref="B7:D14">
    <cfRule type="expression" priority="13" dxfId="2" stopIfTrue="1">
      <formula>$Q7&gt;=1</formula>
    </cfRule>
  </conditionalFormatting>
  <conditionalFormatting sqref="E7:E27 E29:E37">
    <cfRule type="expression" priority="10" dxfId="6" stopIfTrue="1">
      <formula>AND(ROUNDDOWN(($A$4-E7)/365.25,0)&lt;=13,G7&lt;&gt;"OK")</formula>
    </cfRule>
    <cfRule type="expression" priority="11" dxfId="5" stopIfTrue="1">
      <formula>AND(ROUNDDOWN(($A$4-E7)/365.25,0)&lt;=14,G7&lt;&gt;"OK")</formula>
    </cfRule>
    <cfRule type="expression" priority="12" dxfId="4" stopIfTrue="1">
      <formula>AND(ROUNDDOWN(($A$4-E7)/365.25,0)&lt;=17,G7&lt;&gt;"OK")</formula>
    </cfRule>
  </conditionalFormatting>
  <conditionalFormatting sqref="B7:D37">
    <cfRule type="expression" priority="9" dxfId="2" stopIfTrue="1">
      <formula>$Q7&gt;=1</formula>
    </cfRule>
  </conditionalFormatting>
  <conditionalFormatting sqref="E7:E11">
    <cfRule type="expression" priority="6" dxfId="6" stopIfTrue="1">
      <formula>AND(ROUNDDOWN(($A$4-E7)/365.25,0)&lt;=13,G7&lt;&gt;"OK")</formula>
    </cfRule>
    <cfRule type="expression" priority="7" dxfId="5" stopIfTrue="1">
      <formula>AND(ROUNDDOWN(($A$4-E7)/365.25,0)&lt;=14,G7&lt;&gt;"OK")</formula>
    </cfRule>
    <cfRule type="expression" priority="8" dxfId="4" stopIfTrue="1">
      <formula>AND(ROUNDDOWN(($A$4-E7)/365.25,0)&lt;=17,G7&lt;&gt;"OK")</formula>
    </cfRule>
  </conditionalFormatting>
  <conditionalFormatting sqref="B7:D11">
    <cfRule type="expression" priority="5" dxfId="2" stopIfTrue="1">
      <formula>$Q7&gt;=1</formula>
    </cfRule>
  </conditionalFormatting>
  <conditionalFormatting sqref="E7:E11">
    <cfRule type="expression" priority="2" dxfId="6" stopIfTrue="1">
      <formula>AND(ROUNDDOWN(($A$4-E7)/365.25,0)&lt;=13,G7&lt;&gt;"OK")</formula>
    </cfRule>
    <cfRule type="expression" priority="3" dxfId="5" stopIfTrue="1">
      <formula>AND(ROUNDDOWN(($A$4-E7)/365.25,0)&lt;=14,G7&lt;&gt;"OK")</formula>
    </cfRule>
    <cfRule type="expression" priority="4" dxfId="4" stopIfTrue="1">
      <formula>AND(ROUNDDOWN(($A$4-E7)/365.25,0)&lt;=17,G7&lt;&gt;"OK")</formula>
    </cfRule>
  </conditionalFormatting>
  <conditionalFormatting sqref="B7:D11">
    <cfRule type="expression" priority="1" dxfId="2" stopIfTrue="1">
      <formula>$Q8&gt;=1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450" t="str">
        <f>Altalanos!$A$6</f>
        <v>Budapest Város Szenior Bajnokság</v>
      </c>
      <c r="B1" s="450"/>
      <c r="C1" s="450"/>
      <c r="D1" s="450"/>
      <c r="E1" s="450"/>
      <c r="F1" s="450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AB1" s="365" t="e">
        <f>IF(Y5=1,CONCATENATE(VLOOKUP(Y3,AA16:AH27,2)),CONCATENATE(VLOOKUP(Y3,AA2:AK13,2)))</f>
        <v>#N/A</v>
      </c>
      <c r="AC1" s="365" t="e">
        <f>IF(Y5=1,CONCATENATE(VLOOKUP(Y3,AA16:AK27,3)),CONCATENATE(VLOOKUP(Y3,AA2:AK13,3)))</f>
        <v>#N/A</v>
      </c>
      <c r="AD1" s="365" t="e">
        <f>IF(Y5=1,CONCATENATE(VLOOKUP(Y3,AA16:AK27,4)),CONCATENATE(VLOOKUP(Y3,AA2:AK13,4)))</f>
        <v>#N/A</v>
      </c>
      <c r="AE1" s="365" t="e">
        <f>IF(Y5=1,CONCATENATE(VLOOKUP(Y3,AA16:AK27,5)),CONCATENATE(VLOOKUP(Y3,AA2:AK13,5)))</f>
        <v>#N/A</v>
      </c>
      <c r="AF1" s="365" t="e">
        <f>IF(Y5=1,CONCATENATE(VLOOKUP(Y3,AA16:AK27,6)),CONCATENATE(VLOOKUP(Y3,AA2:AK13,6)))</f>
        <v>#N/A</v>
      </c>
      <c r="AG1" s="365" t="e">
        <f>IF(Y5=1,CONCATENATE(VLOOKUP(Y3,AA16:AK27,7)),CONCATENATE(VLOOKUP(Y3,AA2:AK13,7)))</f>
        <v>#N/A</v>
      </c>
      <c r="AH1" s="365" t="e">
        <f>IF(Y5=1,CONCATENATE(VLOOKUP(Y3,AA16:AK27,8)),CONCATENATE(VLOOKUP(Y3,AA2:AK13,8)))</f>
        <v>#N/A</v>
      </c>
      <c r="AI1" s="365" t="e">
        <f>IF(Y5=1,CONCATENATE(VLOOKUP(Y3,AA16:AK27,9)),CONCATENATE(VLOOKUP(Y3,AA2:AK13,9)))</f>
        <v>#N/A</v>
      </c>
      <c r="AJ1" s="365" t="e">
        <f>IF(Y5=1,CONCATENATE(VLOOKUP(Y3,AA16:AK27,10)),CONCATENATE(VLOOKUP(Y3,AA2:AK13,10)))</f>
        <v>#N/A</v>
      </c>
      <c r="AK1" s="365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09" t="str">
        <f>Altalanos!$B$8</f>
        <v>Fe70+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60"/>
      <c r="Z2" s="359"/>
      <c r="AA2" s="359" t="s">
        <v>64</v>
      </c>
      <c r="AB2" s="363">
        <v>150</v>
      </c>
      <c r="AC2" s="363">
        <v>120</v>
      </c>
      <c r="AD2" s="363">
        <v>100</v>
      </c>
      <c r="AE2" s="363">
        <v>80</v>
      </c>
      <c r="AF2" s="363">
        <v>70</v>
      </c>
      <c r="AG2" s="363">
        <v>60</v>
      </c>
      <c r="AH2" s="363">
        <v>55</v>
      </c>
      <c r="AI2" s="363">
        <v>50</v>
      </c>
      <c r="AJ2" s="363">
        <v>45</v>
      </c>
      <c r="AK2" s="363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08"/>
      <c r="O3" s="307"/>
      <c r="P3" s="308"/>
      <c r="Q3" s="307"/>
      <c r="R3" s="309"/>
      <c r="S3" s="304"/>
      <c r="Y3" s="359">
        <f>IF(H4="OB","A",IF(H4="IX","W",H4))</f>
        <v>0</v>
      </c>
      <c r="Z3" s="359"/>
      <c r="AA3" s="359" t="s">
        <v>89</v>
      </c>
      <c r="AB3" s="363">
        <v>120</v>
      </c>
      <c r="AC3" s="363">
        <v>90</v>
      </c>
      <c r="AD3" s="363">
        <v>65</v>
      </c>
      <c r="AE3" s="363">
        <v>55</v>
      </c>
      <c r="AF3" s="363">
        <v>50</v>
      </c>
      <c r="AG3" s="363">
        <v>45</v>
      </c>
      <c r="AH3" s="363">
        <v>40</v>
      </c>
      <c r="AI3" s="363">
        <v>35</v>
      </c>
      <c r="AJ3" s="363">
        <v>25</v>
      </c>
      <c r="AK3" s="363">
        <v>20</v>
      </c>
    </row>
    <row r="4" spans="1:37" ht="13.5" thickBot="1">
      <c r="A4" s="439" t="str">
        <f>Altalanos!$A$10</f>
        <v>2020.07.10-12.</v>
      </c>
      <c r="B4" s="439"/>
      <c r="C4" s="439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242" t="str">
        <f>Altalanos!$E$10</f>
        <v>Kádár László</v>
      </c>
      <c r="M4" s="240"/>
      <c r="N4" s="310"/>
      <c r="O4" s="311"/>
      <c r="P4" s="350" t="s">
        <v>73</v>
      </c>
      <c r="Q4" s="351" t="s">
        <v>82</v>
      </c>
      <c r="R4" s="351" t="s">
        <v>78</v>
      </c>
      <c r="S4" s="349"/>
      <c r="Y4" s="359"/>
      <c r="Z4" s="359"/>
      <c r="AA4" s="359" t="s">
        <v>90</v>
      </c>
      <c r="AB4" s="363">
        <v>90</v>
      </c>
      <c r="AC4" s="363">
        <v>60</v>
      </c>
      <c r="AD4" s="363">
        <v>45</v>
      </c>
      <c r="AE4" s="363">
        <v>34</v>
      </c>
      <c r="AF4" s="363">
        <v>27</v>
      </c>
      <c r="AG4" s="363">
        <v>22</v>
      </c>
      <c r="AH4" s="363">
        <v>18</v>
      </c>
      <c r="AI4" s="363">
        <v>15</v>
      </c>
      <c r="AJ4" s="363">
        <v>12</v>
      </c>
      <c r="AK4" s="363">
        <v>9</v>
      </c>
    </row>
    <row r="5" spans="1:37" ht="12.75">
      <c r="A5" s="33"/>
      <c r="B5" s="33" t="s">
        <v>49</v>
      </c>
      <c r="C5" s="297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2" t="s">
        <v>68</v>
      </c>
      <c r="L5" s="342" t="s">
        <v>69</v>
      </c>
      <c r="M5" s="342" t="s">
        <v>70</v>
      </c>
      <c r="N5" s="304"/>
      <c r="O5" s="304"/>
      <c r="P5" s="352" t="s">
        <v>80</v>
      </c>
      <c r="Q5" s="353" t="s">
        <v>76</v>
      </c>
      <c r="R5" s="353" t="s">
        <v>83</v>
      </c>
      <c r="S5" s="349"/>
      <c r="Y5" s="359">
        <f>IF(OR(Altalanos!$A$8="F1",Altalanos!$A$8="F2",Altalanos!$A$8="N1",Altalanos!$A$8="N2"),1,2)</f>
        <v>2</v>
      </c>
      <c r="Z5" s="359"/>
      <c r="AA5" s="359" t="s">
        <v>91</v>
      </c>
      <c r="AB5" s="363">
        <v>60</v>
      </c>
      <c r="AC5" s="363">
        <v>40</v>
      </c>
      <c r="AD5" s="363">
        <v>30</v>
      </c>
      <c r="AE5" s="363">
        <v>20</v>
      </c>
      <c r="AF5" s="363">
        <v>18</v>
      </c>
      <c r="AG5" s="363">
        <v>15</v>
      </c>
      <c r="AH5" s="363">
        <v>12</v>
      </c>
      <c r="AI5" s="363">
        <v>10</v>
      </c>
      <c r="AJ5" s="363">
        <v>8</v>
      </c>
      <c r="AK5" s="363">
        <v>6</v>
      </c>
    </row>
    <row r="6" spans="1:37" ht="12.75">
      <c r="A6" s="274"/>
      <c r="B6" s="274"/>
      <c r="C6" s="341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304"/>
      <c r="O6" s="304"/>
      <c r="P6" s="354" t="s">
        <v>81</v>
      </c>
      <c r="Q6" s="355" t="s">
        <v>84</v>
      </c>
      <c r="R6" s="355" t="s">
        <v>79</v>
      </c>
      <c r="S6" s="349"/>
      <c r="Y6" s="359"/>
      <c r="Z6" s="359"/>
      <c r="AA6" s="359" t="s">
        <v>92</v>
      </c>
      <c r="AB6" s="363">
        <v>40</v>
      </c>
      <c r="AC6" s="363">
        <v>25</v>
      </c>
      <c r="AD6" s="363">
        <v>18</v>
      </c>
      <c r="AE6" s="363">
        <v>13</v>
      </c>
      <c r="AF6" s="363">
        <v>10</v>
      </c>
      <c r="AG6" s="363">
        <v>8</v>
      </c>
      <c r="AH6" s="363">
        <v>6</v>
      </c>
      <c r="AI6" s="363">
        <v>5</v>
      </c>
      <c r="AJ6" s="363">
        <v>4</v>
      </c>
      <c r="AK6" s="363">
        <v>3</v>
      </c>
    </row>
    <row r="7" spans="1:37" ht="12.75">
      <c r="A7" s="312" t="s">
        <v>64</v>
      </c>
      <c r="B7" s="343">
        <v>1</v>
      </c>
      <c r="C7" s="345">
        <f>IF($B7="","",VLOOKUP($B7,'70elő'!$A$7:$O$22,5))</f>
        <v>460323</v>
      </c>
      <c r="D7" s="345">
        <f>IF($B7="","",VLOOKUP($B7,'70elő'!$A$7:$O$22,15))</f>
        <v>0</v>
      </c>
      <c r="E7" s="449" t="str">
        <f>UPPER(IF($B7="","",VLOOKUP($B7,'70elő'!$A$7:$O$22,2)))</f>
        <v>DR. KONDOROSI</v>
      </c>
      <c r="F7" s="449"/>
      <c r="G7" s="449" t="str">
        <f>IF($B7="","",VLOOKUP($B7,'70elő'!$A$7:$O$22,3))</f>
        <v>Károly</v>
      </c>
      <c r="H7" s="449"/>
      <c r="I7" s="346">
        <f>IF($B7="","",VLOOKUP($B7,'70elő'!$A$7:$O$22,4))</f>
        <v>0</v>
      </c>
      <c r="J7" s="274"/>
      <c r="K7" s="458" t="s">
        <v>204</v>
      </c>
      <c r="L7" s="459">
        <v>60</v>
      </c>
      <c r="M7" s="366"/>
      <c r="N7" s="304"/>
      <c r="O7" s="304"/>
      <c r="P7" s="350" t="s">
        <v>87</v>
      </c>
      <c r="Q7" s="351" t="s">
        <v>75</v>
      </c>
      <c r="R7" s="351" t="s">
        <v>85</v>
      </c>
      <c r="S7" s="304"/>
      <c r="Y7" s="359"/>
      <c r="Z7" s="359"/>
      <c r="AA7" s="359" t="s">
        <v>93</v>
      </c>
      <c r="AB7" s="363">
        <v>25</v>
      </c>
      <c r="AC7" s="363">
        <v>15</v>
      </c>
      <c r="AD7" s="363">
        <v>13</v>
      </c>
      <c r="AE7" s="363">
        <v>8</v>
      </c>
      <c r="AF7" s="363">
        <v>6</v>
      </c>
      <c r="AG7" s="363">
        <v>4</v>
      </c>
      <c r="AH7" s="363">
        <v>3</v>
      </c>
      <c r="AI7" s="363">
        <v>2</v>
      </c>
      <c r="AJ7" s="363">
        <v>1</v>
      </c>
      <c r="AK7" s="363">
        <v>0</v>
      </c>
    </row>
    <row r="8" spans="1:37" ht="12.75">
      <c r="A8" s="312"/>
      <c r="B8" s="344"/>
      <c r="C8" s="347"/>
      <c r="D8" s="347"/>
      <c r="E8" s="347"/>
      <c r="F8" s="347"/>
      <c r="G8" s="347"/>
      <c r="H8" s="347"/>
      <c r="I8" s="347"/>
      <c r="J8" s="274"/>
      <c r="K8" s="312"/>
      <c r="L8" s="460"/>
      <c r="M8" s="367"/>
      <c r="N8" s="304"/>
      <c r="O8" s="304"/>
      <c r="P8" s="352" t="s">
        <v>88</v>
      </c>
      <c r="Q8" s="353" t="s">
        <v>77</v>
      </c>
      <c r="R8" s="353" t="s">
        <v>86</v>
      </c>
      <c r="S8" s="304"/>
      <c r="Y8" s="359"/>
      <c r="Z8" s="359"/>
      <c r="AA8" s="359" t="s">
        <v>94</v>
      </c>
      <c r="AB8" s="363">
        <v>15</v>
      </c>
      <c r="AC8" s="363">
        <v>10</v>
      </c>
      <c r="AD8" s="363">
        <v>7</v>
      </c>
      <c r="AE8" s="363">
        <v>5</v>
      </c>
      <c r="AF8" s="363">
        <v>4</v>
      </c>
      <c r="AG8" s="363">
        <v>3</v>
      </c>
      <c r="AH8" s="363">
        <v>2</v>
      </c>
      <c r="AI8" s="363">
        <v>1</v>
      </c>
      <c r="AJ8" s="363">
        <v>0</v>
      </c>
      <c r="AK8" s="363">
        <v>0</v>
      </c>
    </row>
    <row r="9" spans="1:37" ht="12.75">
      <c r="A9" s="312" t="s">
        <v>65</v>
      </c>
      <c r="B9" s="343">
        <v>4</v>
      </c>
      <c r="C9" s="345">
        <f>IF($B9="","",VLOOKUP($B9,'70elő'!$A$7:$O$22,5))</f>
        <v>470721</v>
      </c>
      <c r="D9" s="345">
        <f>IF($B9="","",VLOOKUP($B9,'70elő'!$A$7:$O$22,15))</f>
        <v>0</v>
      </c>
      <c r="E9" s="449" t="str">
        <f>UPPER(IF($B9="","",VLOOKUP($B9,'70elő'!$A$7:$O$22,2)))</f>
        <v>ROMÁN</v>
      </c>
      <c r="F9" s="449"/>
      <c r="G9" s="449" t="str">
        <f>IF($B9="","",VLOOKUP($B9,'70elő'!$A$7:$O$22,3))</f>
        <v>Ferenc</v>
      </c>
      <c r="H9" s="449"/>
      <c r="I9" s="346">
        <f>IF($B9="","",VLOOKUP($B9,'70elő'!$A$7:$O$22,4))</f>
        <v>0</v>
      </c>
      <c r="J9" s="274"/>
      <c r="K9" s="458" t="s">
        <v>203</v>
      </c>
      <c r="L9" s="459">
        <v>140</v>
      </c>
      <c r="M9" s="366"/>
      <c r="N9" s="304"/>
      <c r="O9" s="304"/>
      <c r="P9" s="304"/>
      <c r="Q9" s="304"/>
      <c r="R9" s="304"/>
      <c r="S9" s="304"/>
      <c r="Y9" s="359"/>
      <c r="Z9" s="359"/>
      <c r="AA9" s="359" t="s">
        <v>95</v>
      </c>
      <c r="AB9" s="363">
        <v>10</v>
      </c>
      <c r="AC9" s="363">
        <v>6</v>
      </c>
      <c r="AD9" s="363">
        <v>4</v>
      </c>
      <c r="AE9" s="363">
        <v>2</v>
      </c>
      <c r="AF9" s="363">
        <v>1</v>
      </c>
      <c r="AG9" s="363">
        <v>0</v>
      </c>
      <c r="AH9" s="363">
        <v>0</v>
      </c>
      <c r="AI9" s="363">
        <v>0</v>
      </c>
      <c r="AJ9" s="363">
        <v>0</v>
      </c>
      <c r="AK9" s="363">
        <v>0</v>
      </c>
    </row>
    <row r="10" spans="1:37" ht="12.75">
      <c r="A10" s="312"/>
      <c r="B10" s="344"/>
      <c r="C10" s="347"/>
      <c r="D10" s="347"/>
      <c r="E10" s="347"/>
      <c r="F10" s="347"/>
      <c r="G10" s="347"/>
      <c r="H10" s="347"/>
      <c r="I10" s="347"/>
      <c r="J10" s="274"/>
      <c r="K10" s="312"/>
      <c r="L10" s="460"/>
      <c r="M10" s="367"/>
      <c r="N10" s="304"/>
      <c r="O10" s="304"/>
      <c r="P10" s="304"/>
      <c r="Q10" s="304"/>
      <c r="R10" s="304"/>
      <c r="S10" s="304"/>
      <c r="Y10" s="359"/>
      <c r="Z10" s="359"/>
      <c r="AA10" s="359" t="s">
        <v>96</v>
      </c>
      <c r="AB10" s="363">
        <v>6</v>
      </c>
      <c r="AC10" s="363">
        <v>3</v>
      </c>
      <c r="AD10" s="363">
        <v>2</v>
      </c>
      <c r="AE10" s="363">
        <v>1</v>
      </c>
      <c r="AF10" s="363">
        <v>0</v>
      </c>
      <c r="AG10" s="363">
        <v>0</v>
      </c>
      <c r="AH10" s="363">
        <v>0</v>
      </c>
      <c r="AI10" s="363">
        <v>0</v>
      </c>
      <c r="AJ10" s="363">
        <v>0</v>
      </c>
      <c r="AK10" s="363">
        <v>0</v>
      </c>
    </row>
    <row r="11" spans="1:37" ht="12.75">
      <c r="A11" s="312" t="s">
        <v>66</v>
      </c>
      <c r="B11" s="343">
        <v>3</v>
      </c>
      <c r="C11" s="345" t="str">
        <f>IF($B11="","",VLOOKUP($B11,'70elő'!$A$7:$O$22,5))</f>
        <v>501209</v>
      </c>
      <c r="D11" s="345">
        <f>IF($B11="","",VLOOKUP($B11,'70elő'!$A$7:$O$22,15))</f>
        <v>0</v>
      </c>
      <c r="E11" s="449" t="str">
        <f>UPPER(IF($B11="","",VLOOKUP($B11,'70elő'!$A$7:$O$22,2)))</f>
        <v>SZENTES TÓTH</v>
      </c>
      <c r="F11" s="449"/>
      <c r="G11" s="449" t="str">
        <f>IF($B11="","",VLOOKUP($B11,'70elő'!$A$7:$O$22,3))</f>
        <v>István</v>
      </c>
      <c r="H11" s="449"/>
      <c r="I11" s="346">
        <f>IF($B11="","",VLOOKUP($B11,'70elő'!$A$7:$O$22,4))</f>
        <v>0</v>
      </c>
      <c r="J11" s="274"/>
      <c r="K11" s="458" t="s">
        <v>202</v>
      </c>
      <c r="L11" s="459">
        <v>200</v>
      </c>
      <c r="M11" s="366"/>
      <c r="N11" s="304"/>
      <c r="O11" s="304"/>
      <c r="P11" s="304"/>
      <c r="Q11" s="304"/>
      <c r="R11" s="304"/>
      <c r="S11" s="304"/>
      <c r="Y11" s="359"/>
      <c r="Z11" s="359"/>
      <c r="AA11" s="359" t="s">
        <v>101</v>
      </c>
      <c r="AB11" s="363">
        <v>3</v>
      </c>
      <c r="AC11" s="363">
        <v>2</v>
      </c>
      <c r="AD11" s="363">
        <v>1</v>
      </c>
      <c r="AE11" s="363">
        <v>0</v>
      </c>
      <c r="AF11" s="363">
        <v>0</v>
      </c>
      <c r="AG11" s="363">
        <v>0</v>
      </c>
      <c r="AH11" s="363">
        <v>0</v>
      </c>
      <c r="AI11" s="363">
        <v>0</v>
      </c>
      <c r="AJ11" s="363">
        <v>0</v>
      </c>
      <c r="AK11" s="363">
        <v>0</v>
      </c>
    </row>
    <row r="12" spans="1:37" ht="12.75">
      <c r="A12" s="312"/>
      <c r="B12" s="344"/>
      <c r="C12" s="347"/>
      <c r="D12" s="347"/>
      <c r="E12" s="347"/>
      <c r="F12" s="347"/>
      <c r="G12" s="347"/>
      <c r="H12" s="347"/>
      <c r="I12" s="347"/>
      <c r="J12" s="274"/>
      <c r="K12" s="341"/>
      <c r="L12" s="461"/>
      <c r="M12" s="368"/>
      <c r="Y12" s="359"/>
      <c r="Z12" s="359"/>
      <c r="AA12" s="359" t="s">
        <v>97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</row>
    <row r="13" spans="1:37" ht="12.75">
      <c r="A13" s="312" t="s">
        <v>71</v>
      </c>
      <c r="B13" s="343">
        <v>2</v>
      </c>
      <c r="C13" s="345" t="str">
        <f>IF($B13="","",VLOOKUP($B13,'70elő'!$A$7:$O$22,5))</f>
        <v>490503</v>
      </c>
      <c r="D13" s="345">
        <f>IF($B13="","",VLOOKUP($B13,'70elő'!$A$7:$O$22,15))</f>
        <v>0</v>
      </c>
      <c r="E13" s="449" t="str">
        <f>UPPER(IF($B13="","",VLOOKUP($B13,'70elő'!$A$7:$O$22,2)))</f>
        <v>HORVÁTH</v>
      </c>
      <c r="F13" s="449"/>
      <c r="G13" s="449" t="str">
        <f>IF($B13="","",VLOOKUP($B13,'70elő'!$A$7:$O$22,3))</f>
        <v>Gábor</v>
      </c>
      <c r="H13" s="449"/>
      <c r="I13" s="346">
        <f>IF($B13="","",VLOOKUP($B13,'70elő'!$A$7:$O$22,4))</f>
        <v>0</v>
      </c>
      <c r="J13" s="274"/>
      <c r="K13" s="458" t="s">
        <v>201</v>
      </c>
      <c r="L13" s="459">
        <v>90</v>
      </c>
      <c r="M13" s="366"/>
      <c r="Y13" s="359"/>
      <c r="Z13" s="359"/>
      <c r="AA13" s="359" t="s">
        <v>98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</row>
    <row r="14" spans="1:37" ht="12.75">
      <c r="A14" s="312"/>
      <c r="B14" s="344"/>
      <c r="C14" s="347"/>
      <c r="D14" s="347"/>
      <c r="E14" s="347"/>
      <c r="F14" s="347"/>
      <c r="G14" s="347"/>
      <c r="H14" s="347"/>
      <c r="I14" s="347"/>
      <c r="J14" s="274"/>
      <c r="K14" s="312"/>
      <c r="L14" s="460"/>
      <c r="M14" s="368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</row>
    <row r="15" spans="1:37" ht="12.75">
      <c r="A15" s="312" t="s">
        <v>72</v>
      </c>
      <c r="B15" s="343">
        <v>5</v>
      </c>
      <c r="C15" s="345">
        <f>IF($B15="","",VLOOKUP($B15,'70elő'!$A$7:$O$22,5))</f>
        <v>470204</v>
      </c>
      <c r="D15" s="345">
        <f>IF($B15="","",VLOOKUP($B15,'70elő'!$A$7:$O$22,15))</f>
        <v>0</v>
      </c>
      <c r="E15" s="449" t="str">
        <f>UPPER(IF($B15="","",VLOOKUP($B15,'70elő'!$A$7:$O$22,2)))</f>
        <v>MOLNÁR</v>
      </c>
      <c r="F15" s="449"/>
      <c r="G15" s="449" t="str">
        <f>IF($B15="","",VLOOKUP($B15,'70elő'!$A$7:$O$22,3))</f>
        <v>Antal</v>
      </c>
      <c r="H15" s="449"/>
      <c r="I15" s="346">
        <f>IF($B15="","",VLOOKUP($B15,'70elő'!$A$7:$O$22,4))</f>
        <v>0</v>
      </c>
      <c r="J15" s="274"/>
      <c r="K15" s="458" t="s">
        <v>200</v>
      </c>
      <c r="L15" s="459">
        <v>90</v>
      </c>
      <c r="M15" s="366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</row>
    <row r="16" spans="1:37" ht="12.7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Y16" s="359"/>
      <c r="Z16" s="359"/>
      <c r="AA16" s="359" t="s">
        <v>64</v>
      </c>
      <c r="AB16" s="359">
        <v>300</v>
      </c>
      <c r="AC16" s="359">
        <v>250</v>
      </c>
      <c r="AD16" s="359">
        <v>220</v>
      </c>
      <c r="AE16" s="359">
        <v>180</v>
      </c>
      <c r="AF16" s="359">
        <v>160</v>
      </c>
      <c r="AG16" s="359">
        <v>150</v>
      </c>
      <c r="AH16" s="359">
        <v>140</v>
      </c>
      <c r="AI16" s="359">
        <v>130</v>
      </c>
      <c r="AJ16" s="359">
        <v>120</v>
      </c>
      <c r="AK16" s="359">
        <v>110</v>
      </c>
    </row>
    <row r="17" spans="1:37" ht="12.75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Y17" s="359"/>
      <c r="Z17" s="359"/>
      <c r="AA17" s="359" t="s">
        <v>89</v>
      </c>
      <c r="AB17" s="359">
        <v>250</v>
      </c>
      <c r="AC17" s="359">
        <v>200</v>
      </c>
      <c r="AD17" s="359">
        <v>160</v>
      </c>
      <c r="AE17" s="359">
        <v>140</v>
      </c>
      <c r="AF17" s="359">
        <v>120</v>
      </c>
      <c r="AG17" s="359">
        <v>110</v>
      </c>
      <c r="AH17" s="359">
        <v>100</v>
      </c>
      <c r="AI17" s="359">
        <v>90</v>
      </c>
      <c r="AJ17" s="359">
        <v>80</v>
      </c>
      <c r="AK17" s="359">
        <v>70</v>
      </c>
    </row>
    <row r="18" spans="1:37" ht="18.75" customHeight="1">
      <c r="A18" s="274"/>
      <c r="B18" s="448"/>
      <c r="C18" s="448"/>
      <c r="D18" s="446" t="str">
        <f>E7</f>
        <v>DR. KONDOROSI</v>
      </c>
      <c r="E18" s="446"/>
      <c r="F18" s="446" t="str">
        <f>E9</f>
        <v>ROMÁN</v>
      </c>
      <c r="G18" s="446"/>
      <c r="H18" s="446" t="str">
        <f>E11</f>
        <v>SZENTES TÓTH</v>
      </c>
      <c r="I18" s="446"/>
      <c r="J18" s="446" t="str">
        <f>E13</f>
        <v>HORVÁTH</v>
      </c>
      <c r="K18" s="446"/>
      <c r="L18" s="446" t="str">
        <f>E15</f>
        <v>MOLNÁR</v>
      </c>
      <c r="M18" s="446"/>
      <c r="Y18" s="359"/>
      <c r="Z18" s="359"/>
      <c r="AA18" s="359" t="s">
        <v>90</v>
      </c>
      <c r="AB18" s="359">
        <v>200</v>
      </c>
      <c r="AC18" s="359">
        <v>150</v>
      </c>
      <c r="AD18" s="359">
        <v>130</v>
      </c>
      <c r="AE18" s="359">
        <v>110</v>
      </c>
      <c r="AF18" s="359">
        <v>95</v>
      </c>
      <c r="AG18" s="359">
        <v>80</v>
      </c>
      <c r="AH18" s="359">
        <v>70</v>
      </c>
      <c r="AI18" s="359">
        <v>60</v>
      </c>
      <c r="AJ18" s="359">
        <v>55</v>
      </c>
      <c r="AK18" s="359">
        <v>50</v>
      </c>
    </row>
    <row r="19" spans="1:37" ht="18.75" customHeight="1">
      <c r="A19" s="348" t="s">
        <v>64</v>
      </c>
      <c r="B19" s="442" t="str">
        <f>E7</f>
        <v>DR. KONDOROSI</v>
      </c>
      <c r="C19" s="442"/>
      <c r="D19" s="447"/>
      <c r="E19" s="447"/>
      <c r="F19" s="444" t="s">
        <v>184</v>
      </c>
      <c r="G19" s="444"/>
      <c r="H19" s="444" t="s">
        <v>193</v>
      </c>
      <c r="I19" s="444"/>
      <c r="J19" s="445" t="s">
        <v>174</v>
      </c>
      <c r="K19" s="446"/>
      <c r="L19" s="445" t="s">
        <v>175</v>
      </c>
      <c r="M19" s="446"/>
      <c r="Y19" s="359"/>
      <c r="Z19" s="359"/>
      <c r="AA19" s="359" t="s">
        <v>91</v>
      </c>
      <c r="AB19" s="359">
        <v>150</v>
      </c>
      <c r="AC19" s="359">
        <v>120</v>
      </c>
      <c r="AD19" s="359">
        <v>100</v>
      </c>
      <c r="AE19" s="359">
        <v>80</v>
      </c>
      <c r="AF19" s="359">
        <v>70</v>
      </c>
      <c r="AG19" s="359">
        <v>60</v>
      </c>
      <c r="AH19" s="359">
        <v>55</v>
      </c>
      <c r="AI19" s="359">
        <v>50</v>
      </c>
      <c r="AJ19" s="359">
        <v>45</v>
      </c>
      <c r="AK19" s="359">
        <v>40</v>
      </c>
    </row>
    <row r="20" spans="1:37" ht="18.75" customHeight="1">
      <c r="A20" s="348" t="s">
        <v>65</v>
      </c>
      <c r="B20" s="442" t="str">
        <f>E9</f>
        <v>ROMÁN</v>
      </c>
      <c r="C20" s="442"/>
      <c r="D20" s="444" t="s">
        <v>177</v>
      </c>
      <c r="E20" s="444"/>
      <c r="F20" s="447"/>
      <c r="G20" s="447"/>
      <c r="H20" s="443" t="s">
        <v>176</v>
      </c>
      <c r="I20" s="444"/>
      <c r="J20" s="444" t="s">
        <v>179</v>
      </c>
      <c r="K20" s="444"/>
      <c r="L20" s="445" t="s">
        <v>177</v>
      </c>
      <c r="M20" s="446"/>
      <c r="Y20" s="359"/>
      <c r="Z20" s="359"/>
      <c r="AA20" s="359" t="s">
        <v>92</v>
      </c>
      <c r="AB20" s="359">
        <v>120</v>
      </c>
      <c r="AC20" s="359">
        <v>90</v>
      </c>
      <c r="AD20" s="359">
        <v>65</v>
      </c>
      <c r="AE20" s="359">
        <v>55</v>
      </c>
      <c r="AF20" s="359">
        <v>50</v>
      </c>
      <c r="AG20" s="359">
        <v>45</v>
      </c>
      <c r="AH20" s="359">
        <v>40</v>
      </c>
      <c r="AI20" s="359">
        <v>35</v>
      </c>
      <c r="AJ20" s="359">
        <v>25</v>
      </c>
      <c r="AK20" s="359">
        <v>20</v>
      </c>
    </row>
    <row r="21" spans="1:37" ht="18.75" customHeight="1">
      <c r="A21" s="348" t="s">
        <v>66</v>
      </c>
      <c r="B21" s="442" t="str">
        <f>E11</f>
        <v>SZENTES TÓTH</v>
      </c>
      <c r="C21" s="442"/>
      <c r="D21" s="444" t="s">
        <v>194</v>
      </c>
      <c r="E21" s="444"/>
      <c r="F21" s="443" t="s">
        <v>178</v>
      </c>
      <c r="G21" s="444"/>
      <c r="H21" s="447"/>
      <c r="I21" s="447"/>
      <c r="J21" s="443" t="s">
        <v>179</v>
      </c>
      <c r="K21" s="444"/>
      <c r="L21" s="443" t="s">
        <v>180</v>
      </c>
      <c r="M21" s="444"/>
      <c r="Y21" s="359"/>
      <c r="Z21" s="359"/>
      <c r="AA21" s="359" t="s">
        <v>93</v>
      </c>
      <c r="AB21" s="359">
        <v>90</v>
      </c>
      <c r="AC21" s="359">
        <v>60</v>
      </c>
      <c r="AD21" s="359">
        <v>45</v>
      </c>
      <c r="AE21" s="359">
        <v>34</v>
      </c>
      <c r="AF21" s="359">
        <v>27</v>
      </c>
      <c r="AG21" s="359">
        <v>22</v>
      </c>
      <c r="AH21" s="359">
        <v>18</v>
      </c>
      <c r="AI21" s="359">
        <v>15</v>
      </c>
      <c r="AJ21" s="359">
        <v>12</v>
      </c>
      <c r="AK21" s="359">
        <v>9</v>
      </c>
    </row>
    <row r="22" spans="1:37" ht="18.75" customHeight="1">
      <c r="A22" s="348" t="s">
        <v>71</v>
      </c>
      <c r="B22" s="442" t="str">
        <f>E13</f>
        <v>HORVÁTH</v>
      </c>
      <c r="C22" s="442"/>
      <c r="D22" s="443" t="s">
        <v>181</v>
      </c>
      <c r="E22" s="444"/>
      <c r="F22" s="444" t="s">
        <v>182</v>
      </c>
      <c r="G22" s="444"/>
      <c r="H22" s="445" t="s">
        <v>182</v>
      </c>
      <c r="I22" s="446"/>
      <c r="J22" s="447"/>
      <c r="K22" s="447"/>
      <c r="L22" s="443" t="s">
        <v>180</v>
      </c>
      <c r="M22" s="444"/>
      <c r="Y22" s="359"/>
      <c r="Z22" s="359"/>
      <c r="AA22" s="359" t="s">
        <v>94</v>
      </c>
      <c r="AB22" s="359">
        <v>60</v>
      </c>
      <c r="AC22" s="359">
        <v>40</v>
      </c>
      <c r="AD22" s="359">
        <v>30</v>
      </c>
      <c r="AE22" s="359">
        <v>20</v>
      </c>
      <c r="AF22" s="359">
        <v>18</v>
      </c>
      <c r="AG22" s="359">
        <v>15</v>
      </c>
      <c r="AH22" s="359">
        <v>12</v>
      </c>
      <c r="AI22" s="359">
        <v>10</v>
      </c>
      <c r="AJ22" s="359">
        <v>8</v>
      </c>
      <c r="AK22" s="359">
        <v>6</v>
      </c>
    </row>
    <row r="23" spans="1:37" ht="18.75" customHeight="1">
      <c r="A23" s="348" t="s">
        <v>72</v>
      </c>
      <c r="B23" s="442" t="str">
        <f>E15</f>
        <v>MOLNÁR</v>
      </c>
      <c r="C23" s="442"/>
      <c r="D23" s="443" t="s">
        <v>183</v>
      </c>
      <c r="E23" s="444"/>
      <c r="F23" s="443" t="s">
        <v>184</v>
      </c>
      <c r="G23" s="444"/>
      <c r="H23" s="445" t="s">
        <v>185</v>
      </c>
      <c r="I23" s="446"/>
      <c r="J23" s="445" t="s">
        <v>185</v>
      </c>
      <c r="K23" s="446"/>
      <c r="L23" s="447"/>
      <c r="M23" s="447"/>
      <c r="Y23" s="359"/>
      <c r="Z23" s="359"/>
      <c r="AA23" s="359" t="s">
        <v>95</v>
      </c>
      <c r="AB23" s="359">
        <v>40</v>
      </c>
      <c r="AC23" s="359">
        <v>25</v>
      </c>
      <c r="AD23" s="359">
        <v>18</v>
      </c>
      <c r="AE23" s="359">
        <v>13</v>
      </c>
      <c r="AF23" s="359">
        <v>8</v>
      </c>
      <c r="AG23" s="359">
        <v>7</v>
      </c>
      <c r="AH23" s="359">
        <v>6</v>
      </c>
      <c r="AI23" s="359">
        <v>5</v>
      </c>
      <c r="AJ23" s="359">
        <v>4</v>
      </c>
      <c r="AK23" s="359">
        <v>3</v>
      </c>
    </row>
    <row r="24" spans="1:37" ht="12.75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Y24" s="359"/>
      <c r="Z24" s="359"/>
      <c r="AA24" s="359" t="s">
        <v>96</v>
      </c>
      <c r="AB24" s="359">
        <v>25</v>
      </c>
      <c r="AC24" s="359">
        <v>15</v>
      </c>
      <c r="AD24" s="359">
        <v>13</v>
      </c>
      <c r="AE24" s="359">
        <v>7</v>
      </c>
      <c r="AF24" s="359">
        <v>6</v>
      </c>
      <c r="AG24" s="359">
        <v>5</v>
      </c>
      <c r="AH24" s="359">
        <v>4</v>
      </c>
      <c r="AI24" s="359">
        <v>3</v>
      </c>
      <c r="AJ24" s="359">
        <v>2</v>
      </c>
      <c r="AK24" s="359">
        <v>1</v>
      </c>
    </row>
    <row r="25" spans="1:37" ht="12.7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Y25" s="359"/>
      <c r="Z25" s="359"/>
      <c r="AA25" s="359" t="s">
        <v>101</v>
      </c>
      <c r="AB25" s="359">
        <v>15</v>
      </c>
      <c r="AC25" s="359">
        <v>10</v>
      </c>
      <c r="AD25" s="359">
        <v>8</v>
      </c>
      <c r="AE25" s="359">
        <v>4</v>
      </c>
      <c r="AF25" s="359">
        <v>3</v>
      </c>
      <c r="AG25" s="359">
        <v>2</v>
      </c>
      <c r="AH25" s="359">
        <v>1</v>
      </c>
      <c r="AI25" s="359">
        <v>0</v>
      </c>
      <c r="AJ25" s="359">
        <v>0</v>
      </c>
      <c r="AK25" s="359">
        <v>0</v>
      </c>
    </row>
    <row r="26" spans="1:37" ht="12.75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Y26" s="359"/>
      <c r="Z26" s="359"/>
      <c r="AA26" s="359" t="s">
        <v>97</v>
      </c>
      <c r="AB26" s="359">
        <v>10</v>
      </c>
      <c r="AC26" s="359">
        <v>6</v>
      </c>
      <c r="AD26" s="359">
        <v>4</v>
      </c>
      <c r="AE26" s="359">
        <v>2</v>
      </c>
      <c r="AF26" s="359">
        <v>1</v>
      </c>
      <c r="AG26" s="359">
        <v>0</v>
      </c>
      <c r="AH26" s="359">
        <v>0</v>
      </c>
      <c r="AI26" s="359">
        <v>0</v>
      </c>
      <c r="AJ26" s="359">
        <v>0</v>
      </c>
      <c r="AK26" s="359">
        <v>0</v>
      </c>
    </row>
    <row r="27" spans="1:37" ht="12.7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Y27" s="359"/>
      <c r="Z27" s="359"/>
      <c r="AA27" s="359" t="s">
        <v>98</v>
      </c>
      <c r="AB27" s="359">
        <v>3</v>
      </c>
      <c r="AC27" s="359">
        <v>2</v>
      </c>
      <c r="AD27" s="359">
        <v>1</v>
      </c>
      <c r="AE27" s="359">
        <v>0</v>
      </c>
      <c r="AF27" s="359">
        <v>0</v>
      </c>
      <c r="AG27" s="359">
        <v>0</v>
      </c>
      <c r="AH27" s="359">
        <v>0</v>
      </c>
      <c r="AI27" s="359">
        <v>0</v>
      </c>
      <c r="AJ27" s="359">
        <v>0</v>
      </c>
      <c r="AK27" s="359">
        <v>0</v>
      </c>
    </row>
    <row r="28" spans="1:13" ht="12.7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13" ht="12.7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2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</row>
    <row r="31" spans="1:13" ht="12.7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9" ht="12.7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52"/>
      <c r="M32" s="274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20" t="s">
        <v>4</v>
      </c>
      <c r="E33" s="321" t="s">
        <v>45</v>
      </c>
      <c r="F33" s="339"/>
      <c r="G33" s="320" t="s">
        <v>4</v>
      </c>
      <c r="H33" s="321" t="s">
        <v>54</v>
      </c>
      <c r="I33" s="161"/>
      <c r="J33" s="321" t="s">
        <v>55</v>
      </c>
      <c r="K33" s="160" t="s">
        <v>56</v>
      </c>
      <c r="L33" s="33"/>
      <c r="M33" s="339"/>
      <c r="O33" s="304"/>
      <c r="P33" s="314"/>
      <c r="Q33" s="314"/>
      <c r="R33" s="315"/>
      <c r="S33" s="304"/>
    </row>
    <row r="34" spans="1:19" ht="12.75">
      <c r="A34" s="285" t="s">
        <v>44</v>
      </c>
      <c r="B34" s="286"/>
      <c r="C34" s="288"/>
      <c r="D34" s="322"/>
      <c r="E34" s="440"/>
      <c r="F34" s="440"/>
      <c r="G34" s="333" t="s">
        <v>5</v>
      </c>
      <c r="H34" s="286"/>
      <c r="I34" s="323"/>
      <c r="J34" s="334"/>
      <c r="K34" s="280" t="s">
        <v>46</v>
      </c>
      <c r="L34" s="340"/>
      <c r="M34" s="324"/>
      <c r="O34" s="304"/>
      <c r="P34" s="316"/>
      <c r="Q34" s="316"/>
      <c r="R34" s="317"/>
      <c r="S34" s="304"/>
    </row>
    <row r="35" spans="1:19" ht="12.75">
      <c r="A35" s="289" t="s">
        <v>53</v>
      </c>
      <c r="B35" s="159"/>
      <c r="C35" s="291"/>
      <c r="D35" s="325"/>
      <c r="E35" s="441"/>
      <c r="F35" s="441"/>
      <c r="G35" s="335" t="s">
        <v>6</v>
      </c>
      <c r="H35" s="326"/>
      <c r="I35" s="327"/>
      <c r="J35" s="85"/>
      <c r="K35" s="337"/>
      <c r="L35" s="252"/>
      <c r="M35" s="332"/>
      <c r="O35" s="304"/>
      <c r="P35" s="317"/>
      <c r="Q35" s="318"/>
      <c r="R35" s="317"/>
      <c r="S35" s="304"/>
    </row>
    <row r="36" spans="1:19" ht="12.75">
      <c r="A36" s="174"/>
      <c r="B36" s="175"/>
      <c r="C36" s="176"/>
      <c r="D36" s="325"/>
      <c r="E36" s="329"/>
      <c r="F36" s="330"/>
      <c r="G36" s="335" t="s">
        <v>7</v>
      </c>
      <c r="H36" s="326"/>
      <c r="I36" s="327"/>
      <c r="J36" s="85"/>
      <c r="K36" s="280" t="s">
        <v>47</v>
      </c>
      <c r="L36" s="340"/>
      <c r="M36" s="324"/>
      <c r="O36" s="304"/>
      <c r="P36" s="316"/>
      <c r="Q36" s="316"/>
      <c r="R36" s="317"/>
      <c r="S36" s="304"/>
    </row>
    <row r="37" spans="1:19" ht="12.75">
      <c r="A37" s="150"/>
      <c r="B37" s="206"/>
      <c r="C37" s="151"/>
      <c r="D37" s="325"/>
      <c r="E37" s="329"/>
      <c r="F37" s="330"/>
      <c r="G37" s="335" t="s">
        <v>8</v>
      </c>
      <c r="H37" s="326"/>
      <c r="I37" s="327"/>
      <c r="J37" s="85"/>
      <c r="K37" s="338"/>
      <c r="L37" s="330"/>
      <c r="M37" s="328"/>
      <c r="O37" s="304"/>
      <c r="P37" s="317"/>
      <c r="Q37" s="318"/>
      <c r="R37" s="317"/>
      <c r="S37" s="304"/>
    </row>
    <row r="38" spans="1:19" ht="12.75">
      <c r="A38" s="163"/>
      <c r="B38" s="177"/>
      <c r="C38" s="210"/>
      <c r="D38" s="325"/>
      <c r="E38" s="329"/>
      <c r="F38" s="330"/>
      <c r="G38" s="335" t="s">
        <v>9</v>
      </c>
      <c r="H38" s="326"/>
      <c r="I38" s="327"/>
      <c r="J38" s="85"/>
      <c r="K38" s="289"/>
      <c r="L38" s="252"/>
      <c r="M38" s="332"/>
      <c r="O38" s="304"/>
      <c r="P38" s="317"/>
      <c r="Q38" s="318"/>
      <c r="R38" s="317"/>
      <c r="S38" s="304"/>
    </row>
    <row r="39" spans="1:19" ht="12.75">
      <c r="A39" s="164"/>
      <c r="B39" s="180"/>
      <c r="C39" s="151"/>
      <c r="D39" s="325"/>
      <c r="E39" s="329"/>
      <c r="F39" s="330"/>
      <c r="G39" s="335" t="s">
        <v>10</v>
      </c>
      <c r="H39" s="326"/>
      <c r="I39" s="327"/>
      <c r="J39" s="85"/>
      <c r="K39" s="280" t="s">
        <v>33</v>
      </c>
      <c r="L39" s="340"/>
      <c r="M39" s="324"/>
      <c r="O39" s="304"/>
      <c r="P39" s="316"/>
      <c r="Q39" s="316"/>
      <c r="R39" s="317"/>
      <c r="S39" s="304"/>
    </row>
    <row r="40" spans="1:19" ht="12.75">
      <c r="A40" s="164"/>
      <c r="B40" s="180"/>
      <c r="C40" s="172"/>
      <c r="D40" s="325"/>
      <c r="E40" s="329"/>
      <c r="F40" s="330"/>
      <c r="G40" s="335" t="s">
        <v>11</v>
      </c>
      <c r="H40" s="326"/>
      <c r="I40" s="327"/>
      <c r="J40" s="85"/>
      <c r="K40" s="338"/>
      <c r="L40" s="330"/>
      <c r="M40" s="328"/>
      <c r="O40" s="304"/>
      <c r="P40" s="317"/>
      <c r="Q40" s="318"/>
      <c r="R40" s="317"/>
      <c r="S40" s="304"/>
    </row>
    <row r="41" spans="1:19" ht="12.75">
      <c r="A41" s="165"/>
      <c r="B41" s="162"/>
      <c r="C41" s="173"/>
      <c r="D41" s="331"/>
      <c r="E41" s="152"/>
      <c r="F41" s="252"/>
      <c r="G41" s="336" t="s">
        <v>12</v>
      </c>
      <c r="H41" s="159"/>
      <c r="I41" s="282"/>
      <c r="J41" s="154"/>
      <c r="K41" s="289" t="str">
        <f>L4</f>
        <v>Kádár László</v>
      </c>
      <c r="L41" s="252"/>
      <c r="M41" s="332"/>
      <c r="O41" s="304"/>
      <c r="P41" s="317"/>
      <c r="Q41" s="318"/>
      <c r="R41" s="319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E7" sqref="E7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1" customWidth="1"/>
    <col min="5" max="5" width="12.140625" style="392" customWidth="1"/>
    <col min="6" max="6" width="6.140625" style="92" hidden="1" customWidth="1"/>
    <col min="7" max="7" width="29.8515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Budapest Város Szenior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08" t="str">
        <f>Altalanos!$C$8</f>
        <v>Fe75+</v>
      </c>
      <c r="D2" s="104"/>
      <c r="E2" s="202" t="s">
        <v>34</v>
      </c>
      <c r="F2" s="93"/>
      <c r="G2" s="93"/>
      <c r="H2" s="380"/>
      <c r="I2" s="38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5" t="s">
        <v>50</v>
      </c>
      <c r="B3" s="378"/>
      <c r="C3" s="378"/>
      <c r="D3" s="378"/>
      <c r="E3" s="378"/>
      <c r="F3" s="378"/>
      <c r="G3" s="378"/>
      <c r="H3" s="378"/>
      <c r="I3" s="37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4" t="s">
        <v>30</v>
      </c>
      <c r="I4" s="38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2020.07.10-12.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Kádár László</v>
      </c>
      <c r="I5" s="395"/>
      <c r="J5" s="111"/>
      <c r="K5" s="83"/>
      <c r="L5" s="83"/>
      <c r="M5" s="83"/>
      <c r="N5" s="111"/>
      <c r="O5" s="91"/>
      <c r="P5" s="91"/>
      <c r="Q5" s="399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81" t="s">
        <v>37</v>
      </c>
      <c r="I6" s="38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149</v>
      </c>
      <c r="C7" s="94" t="s">
        <v>119</v>
      </c>
      <c r="D7" s="95"/>
      <c r="E7" s="422"/>
      <c r="F7" s="423"/>
      <c r="G7" s="424">
        <v>75</v>
      </c>
      <c r="H7" s="95"/>
      <c r="I7" s="95"/>
      <c r="J7" s="187"/>
      <c r="K7" s="185"/>
      <c r="L7" s="189"/>
      <c r="M7" s="185"/>
      <c r="N7" s="179"/>
      <c r="O7" s="405"/>
      <c r="P7" s="113"/>
      <c r="Q7" s="96"/>
    </row>
    <row r="8" spans="1:17" s="11" customFormat="1" ht="18.75" customHeight="1">
      <c r="A8" s="190">
        <v>2</v>
      </c>
      <c r="B8" s="94" t="s">
        <v>150</v>
      </c>
      <c r="C8" s="94" t="s">
        <v>141</v>
      </c>
      <c r="D8" s="95"/>
      <c r="E8" s="205"/>
      <c r="F8" s="423"/>
      <c r="G8" s="424">
        <v>75</v>
      </c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151</v>
      </c>
      <c r="C9" s="94" t="s">
        <v>152</v>
      </c>
      <c r="D9" s="95"/>
      <c r="E9" s="422"/>
      <c r="F9" s="423"/>
      <c r="G9" s="424">
        <v>75</v>
      </c>
      <c r="H9" s="95"/>
      <c r="I9" s="95"/>
      <c r="J9" s="187"/>
      <c r="K9" s="185"/>
      <c r="L9" s="189"/>
      <c r="M9" s="185"/>
      <c r="N9" s="179"/>
      <c r="O9" s="95"/>
      <c r="P9" s="387"/>
      <c r="Q9" s="213"/>
    </row>
    <row r="10" spans="1:17" s="11" customFormat="1" ht="18.75" customHeight="1">
      <c r="A10" s="190">
        <v>4</v>
      </c>
      <c r="B10" s="94" t="s">
        <v>153</v>
      </c>
      <c r="C10" s="94" t="s">
        <v>154</v>
      </c>
      <c r="D10" s="95"/>
      <c r="E10" s="205" t="s">
        <v>155</v>
      </c>
      <c r="F10" s="423"/>
      <c r="G10" s="424">
        <v>75</v>
      </c>
      <c r="H10" s="95"/>
      <c r="I10" s="95"/>
      <c r="J10" s="187"/>
      <c r="K10" s="185"/>
      <c r="L10" s="189"/>
      <c r="M10" s="185"/>
      <c r="N10" s="179"/>
      <c r="O10" s="95"/>
      <c r="P10" s="386"/>
      <c r="Q10" s="383"/>
    </row>
    <row r="11" spans="1:17" s="11" customFormat="1" ht="18.75" customHeight="1">
      <c r="A11" s="190">
        <v>5</v>
      </c>
      <c r="B11" s="94"/>
      <c r="C11" s="94"/>
      <c r="D11" s="95"/>
      <c r="E11" s="205"/>
      <c r="F11" s="376"/>
      <c r="G11" s="377"/>
      <c r="H11" s="95"/>
      <c r="I11" s="95"/>
      <c r="J11" s="187"/>
      <c r="K11" s="185"/>
      <c r="L11" s="189"/>
      <c r="M11" s="185"/>
      <c r="N11" s="179"/>
      <c r="O11" s="95"/>
      <c r="P11" s="386"/>
      <c r="Q11" s="383"/>
    </row>
    <row r="12" spans="1:17" s="11" customFormat="1" ht="18.75" customHeight="1">
      <c r="A12" s="190">
        <v>6</v>
      </c>
      <c r="B12" s="94"/>
      <c r="C12" s="94"/>
      <c r="D12" s="95"/>
      <c r="E12" s="205"/>
      <c r="F12" s="376"/>
      <c r="G12" s="377"/>
      <c r="H12" s="95"/>
      <c r="I12" s="95"/>
      <c r="J12" s="187"/>
      <c r="K12" s="185"/>
      <c r="L12" s="189"/>
      <c r="M12" s="185"/>
      <c r="N12" s="179"/>
      <c r="O12" s="95"/>
      <c r="P12" s="386"/>
      <c r="Q12" s="383"/>
    </row>
    <row r="13" spans="1:17" s="11" customFormat="1" ht="18.75" customHeight="1">
      <c r="A13" s="190">
        <v>7</v>
      </c>
      <c r="B13" s="94"/>
      <c r="C13" s="94"/>
      <c r="D13" s="95"/>
      <c r="E13" s="205"/>
      <c r="F13" s="376"/>
      <c r="G13" s="377"/>
      <c r="H13" s="95"/>
      <c r="I13" s="95"/>
      <c r="J13" s="187"/>
      <c r="K13" s="185"/>
      <c r="L13" s="189"/>
      <c r="M13" s="185"/>
      <c r="N13" s="179"/>
      <c r="O13" s="95"/>
      <c r="P13" s="386"/>
      <c r="Q13" s="383"/>
    </row>
    <row r="14" spans="1:17" s="11" customFormat="1" ht="18.75" customHeight="1">
      <c r="A14" s="190">
        <v>8</v>
      </c>
      <c r="B14" s="94"/>
      <c r="C14" s="94"/>
      <c r="D14" s="95"/>
      <c r="E14" s="205"/>
      <c r="F14" s="376"/>
      <c r="G14" s="377"/>
      <c r="H14" s="95"/>
      <c r="I14" s="95"/>
      <c r="J14" s="187"/>
      <c r="K14" s="185"/>
      <c r="L14" s="189"/>
      <c r="M14" s="185"/>
      <c r="N14" s="179"/>
      <c r="O14" s="95"/>
      <c r="P14" s="386"/>
      <c r="Q14" s="383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6"/>
      <c r="F28" s="396"/>
      <c r="G28" s="39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0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24" dxfId="6" stopIfTrue="1">
      <formula>AND(ROUNDDOWN(($A$4-E7)/365.25,0)&lt;=13,G7&lt;&gt;"OK")</formula>
    </cfRule>
    <cfRule type="expression" priority="25" dxfId="5" stopIfTrue="1">
      <formula>AND(ROUNDDOWN(($A$4-E7)/365.25,0)&lt;=14,G7&lt;&gt;"OK")</formula>
    </cfRule>
    <cfRule type="expression" priority="26" dxfId="4" stopIfTrue="1">
      <formula>AND(ROUNDDOWN(($A$4-E7)/365.25,0)&lt;=17,G7&lt;&gt;"OK")</formula>
    </cfRule>
  </conditionalFormatting>
  <conditionalFormatting sqref="J7:J156">
    <cfRule type="cellIs" priority="23" dxfId="20" operator="equal" stopIfTrue="1">
      <formula>"Z"</formula>
    </cfRule>
  </conditionalFormatting>
  <conditionalFormatting sqref="A7:D156">
    <cfRule type="expression" priority="22" dxfId="2" stopIfTrue="1">
      <formula>$Q7&gt;=1</formula>
    </cfRule>
  </conditionalFormatting>
  <conditionalFormatting sqref="E7:E14">
    <cfRule type="expression" priority="19" dxfId="6" stopIfTrue="1">
      <formula>AND(ROUNDDOWN(($A$4-E7)/365.25,0)&lt;=13,G7&lt;&gt;"OK")</formula>
    </cfRule>
    <cfRule type="expression" priority="20" dxfId="5" stopIfTrue="1">
      <formula>AND(ROUNDDOWN(($A$4-E7)/365.25,0)&lt;=14,G7&lt;&gt;"OK")</formula>
    </cfRule>
    <cfRule type="expression" priority="21" dxfId="4" stopIfTrue="1">
      <formula>AND(ROUNDDOWN(($A$4-E7)/365.25,0)&lt;=17,G7&lt;&gt;"OK")</formula>
    </cfRule>
  </conditionalFormatting>
  <conditionalFormatting sqref="J7:J14">
    <cfRule type="cellIs" priority="18" dxfId="20" operator="equal" stopIfTrue="1">
      <formula>"Z"</formula>
    </cfRule>
  </conditionalFormatting>
  <conditionalFormatting sqref="B7:D14">
    <cfRule type="expression" priority="17" dxfId="2" stopIfTrue="1">
      <formula>$Q7&gt;=1</formula>
    </cfRule>
  </conditionalFormatting>
  <conditionalFormatting sqref="E7:E14">
    <cfRule type="expression" priority="14" dxfId="6" stopIfTrue="1">
      <formula>AND(ROUNDDOWN(($A$4-E7)/365.25,0)&lt;=13,G7&lt;&gt;"OK")</formula>
    </cfRule>
    <cfRule type="expression" priority="15" dxfId="5" stopIfTrue="1">
      <formula>AND(ROUNDDOWN(($A$4-E7)/365.25,0)&lt;=14,G7&lt;&gt;"OK")</formula>
    </cfRule>
    <cfRule type="expression" priority="16" dxfId="4" stopIfTrue="1">
      <formula>AND(ROUNDDOWN(($A$4-E7)/365.25,0)&lt;=17,G7&lt;&gt;"OK")</formula>
    </cfRule>
  </conditionalFormatting>
  <conditionalFormatting sqref="B7:D14">
    <cfRule type="expression" priority="13" dxfId="2" stopIfTrue="1">
      <formula>$Q7&gt;=1</formula>
    </cfRule>
  </conditionalFormatting>
  <conditionalFormatting sqref="E7:E27 E29:E37">
    <cfRule type="expression" priority="10" dxfId="6" stopIfTrue="1">
      <formula>AND(ROUNDDOWN(($A$4-E7)/365.25,0)&lt;=13,G7&lt;&gt;"OK")</formula>
    </cfRule>
    <cfRule type="expression" priority="11" dxfId="5" stopIfTrue="1">
      <formula>AND(ROUNDDOWN(($A$4-E7)/365.25,0)&lt;=14,G7&lt;&gt;"OK")</formula>
    </cfRule>
    <cfRule type="expression" priority="12" dxfId="4" stopIfTrue="1">
      <formula>AND(ROUNDDOWN(($A$4-E7)/365.25,0)&lt;=17,G7&lt;&gt;"OK")</formula>
    </cfRule>
  </conditionalFormatting>
  <conditionalFormatting sqref="B7:D37">
    <cfRule type="expression" priority="9" dxfId="2" stopIfTrue="1">
      <formula>$Q7&gt;=1</formula>
    </cfRule>
  </conditionalFormatting>
  <conditionalFormatting sqref="E7:E10">
    <cfRule type="expression" priority="6" dxfId="6" stopIfTrue="1">
      <formula>AND(ROUNDDOWN(($A$4-E7)/365.25,0)&lt;=13,G7&lt;&gt;"OK")</formula>
    </cfRule>
    <cfRule type="expression" priority="7" dxfId="5" stopIfTrue="1">
      <formula>AND(ROUNDDOWN(($A$4-E7)/365.25,0)&lt;=14,G7&lt;&gt;"OK")</formula>
    </cfRule>
    <cfRule type="expression" priority="8" dxfId="4" stopIfTrue="1">
      <formula>AND(ROUNDDOWN(($A$4-E7)/365.25,0)&lt;=17,G7&lt;&gt;"OK")</formula>
    </cfRule>
  </conditionalFormatting>
  <conditionalFormatting sqref="B7:D10">
    <cfRule type="expression" priority="5" dxfId="2" stopIfTrue="1">
      <formula>$Q7&gt;=1</formula>
    </cfRule>
  </conditionalFormatting>
  <conditionalFormatting sqref="E7:E10">
    <cfRule type="expression" priority="2" dxfId="6" stopIfTrue="1">
      <formula>AND(ROUNDDOWN(($A$4-E7)/365.25,0)&lt;=13,G7&lt;&gt;"OK")</formula>
    </cfRule>
    <cfRule type="expression" priority="3" dxfId="5" stopIfTrue="1">
      <formula>AND(ROUNDDOWN(($A$4-E7)/365.25,0)&lt;=14,G7&lt;&gt;"OK")</formula>
    </cfRule>
    <cfRule type="expression" priority="4" dxfId="4" stopIfTrue="1">
      <formula>AND(ROUNDDOWN(($A$4-E7)/365.25,0)&lt;=17,G7&lt;&gt;"OK")</formula>
    </cfRule>
  </conditionalFormatting>
  <conditionalFormatting sqref="B7:D10">
    <cfRule type="expression" priority="1" dxfId="2" stopIfTrue="1">
      <formula>$Q8&gt;=1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50" t="str">
        <f>Altalanos!$A$6</f>
        <v>Budapest Város Szenior Bajnokság</v>
      </c>
      <c r="B1" s="450"/>
      <c r="C1" s="450"/>
      <c r="D1" s="450"/>
      <c r="E1" s="450"/>
      <c r="F1" s="450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AB1" s="365" t="e">
        <f>IF(Y5=1,CONCATENATE(VLOOKUP(Y3,AA16:AH27,2)),CONCATENATE(VLOOKUP(Y3,AA2:AK13,2)))</f>
        <v>#N/A</v>
      </c>
      <c r="AC1" s="365" t="e">
        <f>IF(Y5=1,CONCATENATE(VLOOKUP(Y3,AA16:AK27,3)),CONCATENATE(VLOOKUP(Y3,AA2:AK13,3)))</f>
        <v>#N/A</v>
      </c>
      <c r="AD1" s="365" t="e">
        <f>IF(Y5=1,CONCATENATE(VLOOKUP(Y3,AA16:AK27,4)),CONCATENATE(VLOOKUP(Y3,AA2:AK13,4)))</f>
        <v>#N/A</v>
      </c>
      <c r="AE1" s="365" t="e">
        <f>IF(Y5=1,CONCATENATE(VLOOKUP(Y3,AA16:AK27,5)),CONCATENATE(VLOOKUP(Y3,AA2:AK13,5)))</f>
        <v>#N/A</v>
      </c>
      <c r="AF1" s="365" t="e">
        <f>IF(Y5=1,CONCATENATE(VLOOKUP(Y3,AA16:AK27,6)),CONCATENATE(VLOOKUP(Y3,AA2:AK13,6)))</f>
        <v>#N/A</v>
      </c>
      <c r="AG1" s="365" t="e">
        <f>IF(Y5=1,CONCATENATE(VLOOKUP(Y3,AA16:AK27,7)),CONCATENATE(VLOOKUP(Y3,AA2:AK13,7)))</f>
        <v>#N/A</v>
      </c>
      <c r="AH1" s="365" t="e">
        <f>IF(Y5=1,CONCATENATE(VLOOKUP(Y3,AA16:AK27,8)),CONCATENATE(VLOOKUP(Y3,AA2:AK13,8)))</f>
        <v>#N/A</v>
      </c>
      <c r="AI1" s="365" t="e">
        <f>IF(Y5=1,CONCATENATE(VLOOKUP(Y3,AA16:AK27,9)),CONCATENATE(VLOOKUP(Y3,AA2:AK13,9)))</f>
        <v>#N/A</v>
      </c>
      <c r="AJ1" s="365" t="e">
        <f>IF(Y5=1,CONCATENATE(VLOOKUP(Y3,AA16:AK27,10)),CONCATENATE(VLOOKUP(Y3,AA2:AK13,10)))</f>
        <v>#N/A</v>
      </c>
      <c r="AK1" s="365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409" t="str">
        <f>Altalanos!$C$8</f>
        <v>Fe75+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60"/>
      <c r="Z2" s="359"/>
      <c r="AA2" s="359" t="s">
        <v>64</v>
      </c>
      <c r="AB2" s="363">
        <v>150</v>
      </c>
      <c r="AC2" s="363">
        <v>120</v>
      </c>
      <c r="AD2" s="363">
        <v>100</v>
      </c>
      <c r="AE2" s="363">
        <v>80</v>
      </c>
      <c r="AF2" s="363">
        <v>70</v>
      </c>
      <c r="AG2" s="363">
        <v>60</v>
      </c>
      <c r="AH2" s="363">
        <v>55</v>
      </c>
      <c r="AI2" s="363">
        <v>50</v>
      </c>
      <c r="AJ2" s="363">
        <v>45</v>
      </c>
      <c r="AK2" s="363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08"/>
      <c r="O3" s="307"/>
      <c r="P3" s="308"/>
      <c r="Q3" s="350" t="s">
        <v>73</v>
      </c>
      <c r="R3" s="351" t="s">
        <v>79</v>
      </c>
      <c r="S3" s="351" t="s">
        <v>74</v>
      </c>
      <c r="Y3" s="359">
        <f>IF(H4="OB","A",IF(H4="IX","W",H4))</f>
        <v>0</v>
      </c>
      <c r="Z3" s="359"/>
      <c r="AA3" s="359" t="s">
        <v>89</v>
      </c>
      <c r="AB3" s="363">
        <v>120</v>
      </c>
      <c r="AC3" s="363">
        <v>90</v>
      </c>
      <c r="AD3" s="363">
        <v>65</v>
      </c>
      <c r="AE3" s="363">
        <v>55</v>
      </c>
      <c r="AF3" s="363">
        <v>50</v>
      </c>
      <c r="AG3" s="363">
        <v>45</v>
      </c>
      <c r="AH3" s="363">
        <v>40</v>
      </c>
      <c r="AI3" s="363">
        <v>35</v>
      </c>
      <c r="AJ3" s="363">
        <v>25</v>
      </c>
      <c r="AK3" s="363">
        <v>20</v>
      </c>
    </row>
    <row r="4" spans="1:37" ht="13.5" thickBot="1">
      <c r="A4" s="439" t="str">
        <f>Altalanos!$A$10</f>
        <v>2020.07.10-12.</v>
      </c>
      <c r="B4" s="439"/>
      <c r="C4" s="439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361"/>
      <c r="M4" s="242" t="str">
        <f>Altalanos!$E$10</f>
        <v>Kádár László</v>
      </c>
      <c r="N4" s="310"/>
      <c r="O4" s="311"/>
      <c r="P4" s="310"/>
      <c r="Q4" s="352" t="s">
        <v>80</v>
      </c>
      <c r="R4" s="353" t="s">
        <v>75</v>
      </c>
      <c r="S4" s="353" t="s">
        <v>76</v>
      </c>
      <c r="Y4" s="359"/>
      <c r="Z4" s="359"/>
      <c r="AA4" s="359" t="s">
        <v>90</v>
      </c>
      <c r="AB4" s="363">
        <v>90</v>
      </c>
      <c r="AC4" s="363">
        <v>60</v>
      </c>
      <c r="AD4" s="363">
        <v>45</v>
      </c>
      <c r="AE4" s="363">
        <v>34</v>
      </c>
      <c r="AF4" s="363">
        <v>27</v>
      </c>
      <c r="AG4" s="363">
        <v>22</v>
      </c>
      <c r="AH4" s="363">
        <v>18</v>
      </c>
      <c r="AI4" s="363">
        <v>15</v>
      </c>
      <c r="AJ4" s="363">
        <v>12</v>
      </c>
      <c r="AK4" s="363">
        <v>9</v>
      </c>
    </row>
    <row r="5" spans="1:37" ht="12.75">
      <c r="A5" s="33"/>
      <c r="B5" s="33" t="s">
        <v>49</v>
      </c>
      <c r="C5" s="297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2" t="s">
        <v>68</v>
      </c>
      <c r="L5" s="342" t="s">
        <v>69</v>
      </c>
      <c r="M5" s="342" t="s">
        <v>70</v>
      </c>
      <c r="N5" s="304"/>
      <c r="O5" s="304"/>
      <c r="P5" s="304"/>
      <c r="Q5" s="354" t="s">
        <v>81</v>
      </c>
      <c r="R5" s="355" t="s">
        <v>77</v>
      </c>
      <c r="S5" s="355" t="s">
        <v>78</v>
      </c>
      <c r="Y5" s="359">
        <f>IF(OR(Altalanos!$A$8="F1",Altalanos!$A$8="F2",Altalanos!$A$8="N1",Altalanos!$A$8="N2"),1,2)</f>
        <v>2</v>
      </c>
      <c r="Z5" s="359"/>
      <c r="AA5" s="359" t="s">
        <v>91</v>
      </c>
      <c r="AB5" s="363">
        <v>60</v>
      </c>
      <c r="AC5" s="363">
        <v>40</v>
      </c>
      <c r="AD5" s="363">
        <v>30</v>
      </c>
      <c r="AE5" s="363">
        <v>20</v>
      </c>
      <c r="AF5" s="363">
        <v>18</v>
      </c>
      <c r="AG5" s="363">
        <v>15</v>
      </c>
      <c r="AH5" s="363">
        <v>12</v>
      </c>
      <c r="AI5" s="363">
        <v>10</v>
      </c>
      <c r="AJ5" s="363">
        <v>8</v>
      </c>
      <c r="AK5" s="363">
        <v>6</v>
      </c>
    </row>
    <row r="6" spans="1:37" ht="12.75">
      <c r="A6" s="274"/>
      <c r="B6" s="274"/>
      <c r="C6" s="341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304"/>
      <c r="O6" s="304"/>
      <c r="P6" s="304"/>
      <c r="Q6" s="304"/>
      <c r="R6" s="304"/>
      <c r="S6" s="304"/>
      <c r="Y6" s="359"/>
      <c r="Z6" s="359"/>
      <c r="AA6" s="359" t="s">
        <v>92</v>
      </c>
      <c r="AB6" s="363">
        <v>40</v>
      </c>
      <c r="AC6" s="363">
        <v>25</v>
      </c>
      <c r="AD6" s="363">
        <v>18</v>
      </c>
      <c r="AE6" s="363">
        <v>13</v>
      </c>
      <c r="AF6" s="363">
        <v>10</v>
      </c>
      <c r="AG6" s="363">
        <v>8</v>
      </c>
      <c r="AH6" s="363">
        <v>6</v>
      </c>
      <c r="AI6" s="363">
        <v>5</v>
      </c>
      <c r="AJ6" s="363">
        <v>4</v>
      </c>
      <c r="AK6" s="363">
        <v>3</v>
      </c>
    </row>
    <row r="7" spans="1:37" ht="12.75">
      <c r="A7" s="312" t="s">
        <v>64</v>
      </c>
      <c r="B7" s="343">
        <v>1</v>
      </c>
      <c r="C7" s="345">
        <f>IF($B7="","",VLOOKUP($B7,'75elő'!$A$7:$O$22,5))</f>
        <v>0</v>
      </c>
      <c r="D7" s="345">
        <f>IF($B7="","",VLOOKUP($B7,'75elő'!$A$7:$O$22,15))</f>
        <v>0</v>
      </c>
      <c r="E7" s="449" t="str">
        <f>UPPER(IF($B7="","",VLOOKUP($B7,'75elő'!$A$7:$O$22,2)))</f>
        <v>POHLY</v>
      </c>
      <c r="F7" s="449"/>
      <c r="G7" s="449" t="str">
        <f>IF($B7="","",VLOOKUP($B7,'75elő'!$A$7:$O$22,3))</f>
        <v>Ferenc</v>
      </c>
      <c r="H7" s="449"/>
      <c r="I7" s="346">
        <f>IF($B7="","",VLOOKUP($B7,'75elő'!$A$7:$O$22,4))</f>
        <v>0</v>
      </c>
      <c r="J7" s="274"/>
      <c r="K7" s="458" t="s">
        <v>201</v>
      </c>
      <c r="L7" s="459">
        <v>90</v>
      </c>
      <c r="M7" s="366"/>
      <c r="N7" s="304"/>
      <c r="O7" s="304"/>
      <c r="P7" s="304"/>
      <c r="Q7" s="304"/>
      <c r="R7" s="304"/>
      <c r="S7" s="304"/>
      <c r="Y7" s="359"/>
      <c r="Z7" s="359"/>
      <c r="AA7" s="359" t="s">
        <v>93</v>
      </c>
      <c r="AB7" s="363">
        <v>25</v>
      </c>
      <c r="AC7" s="363">
        <v>15</v>
      </c>
      <c r="AD7" s="363">
        <v>13</v>
      </c>
      <c r="AE7" s="363">
        <v>8</v>
      </c>
      <c r="AF7" s="363">
        <v>6</v>
      </c>
      <c r="AG7" s="363">
        <v>4</v>
      </c>
      <c r="AH7" s="363">
        <v>3</v>
      </c>
      <c r="AI7" s="363">
        <v>2</v>
      </c>
      <c r="AJ7" s="363">
        <v>1</v>
      </c>
      <c r="AK7" s="363">
        <v>0</v>
      </c>
    </row>
    <row r="8" spans="1:37" ht="12.75">
      <c r="A8" s="312"/>
      <c r="B8" s="344"/>
      <c r="C8" s="347"/>
      <c r="D8" s="347"/>
      <c r="E8" s="347"/>
      <c r="F8" s="347"/>
      <c r="G8" s="347"/>
      <c r="H8" s="347"/>
      <c r="I8" s="347"/>
      <c r="J8" s="274"/>
      <c r="K8" s="312"/>
      <c r="L8" s="460"/>
      <c r="M8" s="367"/>
      <c r="N8" s="304"/>
      <c r="O8" s="304"/>
      <c r="P8" s="304"/>
      <c r="Q8" s="304"/>
      <c r="R8" s="304"/>
      <c r="S8" s="304"/>
      <c r="Y8" s="359"/>
      <c r="Z8" s="359"/>
      <c r="AA8" s="359" t="s">
        <v>94</v>
      </c>
      <c r="AB8" s="363">
        <v>15</v>
      </c>
      <c r="AC8" s="363">
        <v>10</v>
      </c>
      <c r="AD8" s="363">
        <v>7</v>
      </c>
      <c r="AE8" s="363">
        <v>5</v>
      </c>
      <c r="AF8" s="363">
        <v>4</v>
      </c>
      <c r="AG8" s="363">
        <v>3</v>
      </c>
      <c r="AH8" s="363">
        <v>2</v>
      </c>
      <c r="AI8" s="363">
        <v>1</v>
      </c>
      <c r="AJ8" s="363">
        <v>0</v>
      </c>
      <c r="AK8" s="363">
        <v>0</v>
      </c>
    </row>
    <row r="9" spans="1:37" ht="12.75">
      <c r="A9" s="312" t="s">
        <v>65</v>
      </c>
      <c r="B9" s="343">
        <v>2</v>
      </c>
      <c r="C9" s="345">
        <f>IF($B9="","",VLOOKUP($B9,'75elő'!$A$7:$O$22,5))</f>
        <v>0</v>
      </c>
      <c r="D9" s="345">
        <f>IF($B9="","",VLOOKUP($B9,'75elő'!$A$7:$O$22,15))</f>
        <v>0</v>
      </c>
      <c r="E9" s="449" t="str">
        <f>UPPER(IF($B9="","",VLOOKUP($B9,'75elő'!$A$7:$O$22,2)))</f>
        <v>KAMERDA</v>
      </c>
      <c r="F9" s="449"/>
      <c r="G9" s="449" t="str">
        <f>IF($B9="","",VLOOKUP($B9,'75elő'!$A$7:$O$22,3))</f>
        <v>Károly</v>
      </c>
      <c r="H9" s="449"/>
      <c r="I9" s="346">
        <f>IF($B9="","",VLOOKUP($B9,'75elő'!$A$7:$O$22,4))</f>
        <v>0</v>
      </c>
      <c r="J9" s="274"/>
      <c r="K9" s="458" t="s">
        <v>200</v>
      </c>
      <c r="L9" s="459">
        <v>90</v>
      </c>
      <c r="M9" s="366"/>
      <c r="N9" s="304"/>
      <c r="O9" s="304"/>
      <c r="P9" s="304"/>
      <c r="Q9" s="304"/>
      <c r="R9" s="304"/>
      <c r="S9" s="304"/>
      <c r="Y9" s="359"/>
      <c r="Z9" s="359"/>
      <c r="AA9" s="359" t="s">
        <v>95</v>
      </c>
      <c r="AB9" s="363">
        <v>10</v>
      </c>
      <c r="AC9" s="363">
        <v>6</v>
      </c>
      <c r="AD9" s="363">
        <v>4</v>
      </c>
      <c r="AE9" s="363">
        <v>2</v>
      </c>
      <c r="AF9" s="363">
        <v>1</v>
      </c>
      <c r="AG9" s="363">
        <v>0</v>
      </c>
      <c r="AH9" s="363">
        <v>0</v>
      </c>
      <c r="AI9" s="363">
        <v>0</v>
      </c>
      <c r="AJ9" s="363">
        <v>0</v>
      </c>
      <c r="AK9" s="363">
        <v>0</v>
      </c>
    </row>
    <row r="10" spans="1:37" ht="12.75">
      <c r="A10" s="312"/>
      <c r="B10" s="344"/>
      <c r="C10" s="347"/>
      <c r="D10" s="347"/>
      <c r="E10" s="347"/>
      <c r="F10" s="347"/>
      <c r="G10" s="347"/>
      <c r="H10" s="347"/>
      <c r="I10" s="347"/>
      <c r="J10" s="274"/>
      <c r="K10" s="312"/>
      <c r="L10" s="460"/>
      <c r="M10" s="367"/>
      <c r="N10" s="304"/>
      <c r="O10" s="304"/>
      <c r="P10" s="304"/>
      <c r="Q10" s="304"/>
      <c r="R10" s="304"/>
      <c r="S10" s="304"/>
      <c r="Y10" s="359"/>
      <c r="Z10" s="359"/>
      <c r="AA10" s="359" t="s">
        <v>96</v>
      </c>
      <c r="AB10" s="363">
        <v>6</v>
      </c>
      <c r="AC10" s="363">
        <v>3</v>
      </c>
      <c r="AD10" s="363">
        <v>2</v>
      </c>
      <c r="AE10" s="363">
        <v>1</v>
      </c>
      <c r="AF10" s="363">
        <v>0</v>
      </c>
      <c r="AG10" s="363">
        <v>0</v>
      </c>
      <c r="AH10" s="363">
        <v>0</v>
      </c>
      <c r="AI10" s="363">
        <v>0</v>
      </c>
      <c r="AJ10" s="363">
        <v>0</v>
      </c>
      <c r="AK10" s="363">
        <v>0</v>
      </c>
    </row>
    <row r="11" spans="1:37" ht="12.75">
      <c r="A11" s="312" t="s">
        <v>66</v>
      </c>
      <c r="B11" s="343">
        <v>3</v>
      </c>
      <c r="C11" s="345">
        <f>IF($B11="","",VLOOKUP($B11,'75elő'!$A$7:$O$22,5))</f>
        <v>0</v>
      </c>
      <c r="D11" s="345">
        <f>IF($B11="","",VLOOKUP($B11,'75elő'!$A$7:$O$22,15))</f>
        <v>0</v>
      </c>
      <c r="E11" s="449" t="str">
        <f>UPPER(IF($B11="","",VLOOKUP($B11,'75elő'!$A$7:$O$22,2)))</f>
        <v>SZALAI</v>
      </c>
      <c r="F11" s="449"/>
      <c r="G11" s="449" t="str">
        <f>IF($B11="","",VLOOKUP($B11,'75elő'!$A$7:$O$22,3))</f>
        <v>Miklós</v>
      </c>
      <c r="H11" s="449"/>
      <c r="I11" s="346">
        <f>IF($B11="","",VLOOKUP($B11,'75elő'!$A$7:$O$22,4))</f>
        <v>0</v>
      </c>
      <c r="J11" s="274"/>
      <c r="K11" s="458" t="s">
        <v>202</v>
      </c>
      <c r="L11" s="459">
        <v>200</v>
      </c>
      <c r="M11" s="366"/>
      <c r="N11" s="304"/>
      <c r="O11" s="304"/>
      <c r="P11" s="304"/>
      <c r="Q11" s="304"/>
      <c r="R11" s="304"/>
      <c r="S11" s="304"/>
      <c r="Y11" s="359"/>
      <c r="Z11" s="359"/>
      <c r="AA11" s="359" t="s">
        <v>101</v>
      </c>
      <c r="AB11" s="363">
        <v>3</v>
      </c>
      <c r="AC11" s="363">
        <v>2</v>
      </c>
      <c r="AD11" s="363">
        <v>1</v>
      </c>
      <c r="AE11" s="363">
        <v>0</v>
      </c>
      <c r="AF11" s="363">
        <v>0</v>
      </c>
      <c r="AG11" s="363">
        <v>0</v>
      </c>
      <c r="AH11" s="363">
        <v>0</v>
      </c>
      <c r="AI11" s="363">
        <v>0</v>
      </c>
      <c r="AJ11" s="363">
        <v>0</v>
      </c>
      <c r="AK11" s="363">
        <v>0</v>
      </c>
    </row>
    <row r="12" spans="1:37" ht="12.75">
      <c r="A12" s="312"/>
      <c r="B12" s="344"/>
      <c r="C12" s="347"/>
      <c r="D12" s="347"/>
      <c r="E12" s="347"/>
      <c r="F12" s="347"/>
      <c r="G12" s="347"/>
      <c r="H12" s="347"/>
      <c r="I12" s="347"/>
      <c r="J12" s="274"/>
      <c r="K12" s="341"/>
      <c r="L12" s="461"/>
      <c r="M12" s="368"/>
      <c r="Y12" s="359"/>
      <c r="Z12" s="359"/>
      <c r="AA12" s="359" t="s">
        <v>97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</row>
    <row r="13" spans="1:37" ht="12.75">
      <c r="A13" s="312" t="s">
        <v>71</v>
      </c>
      <c r="B13" s="343">
        <v>4</v>
      </c>
      <c r="C13" s="345" t="str">
        <f>IF($B13="","",VLOOKUP($B13,'75elő'!$A$7:$O$22,5))</f>
        <v>441204</v>
      </c>
      <c r="D13" s="345">
        <f>IF($B13="","",VLOOKUP($B13,'75elő'!$A$7:$O$22,15))</f>
        <v>0</v>
      </c>
      <c r="E13" s="449" t="str">
        <f>UPPER(IF($B13="","",VLOOKUP($B13,'75elő'!$A$7:$O$22,2)))</f>
        <v>VARANNAI</v>
      </c>
      <c r="F13" s="449"/>
      <c r="G13" s="449" t="str">
        <f>IF($B13="","",VLOOKUP($B13,'75elő'!$A$7:$O$22,3))</f>
        <v>Csaba</v>
      </c>
      <c r="H13" s="449"/>
      <c r="I13" s="346">
        <f>IF($B13="","",VLOOKUP($B13,'75elő'!$A$7:$O$22,4))</f>
        <v>0</v>
      </c>
      <c r="J13" s="274"/>
      <c r="K13" s="458" t="s">
        <v>203</v>
      </c>
      <c r="L13" s="459">
        <v>140</v>
      </c>
      <c r="M13" s="366"/>
      <c r="Y13" s="359"/>
      <c r="Z13" s="359"/>
      <c r="AA13" s="359" t="s">
        <v>98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</row>
    <row r="14" spans="1:37" ht="12.7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</row>
    <row r="15" spans="1:37" ht="12.75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</row>
    <row r="16" spans="1:37" ht="12.75">
      <c r="A16" s="274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274"/>
      <c r="M16" s="274"/>
      <c r="Y16" s="359"/>
      <c r="Z16" s="359"/>
      <c r="AA16" s="359" t="s">
        <v>64</v>
      </c>
      <c r="AB16" s="359">
        <v>300</v>
      </c>
      <c r="AC16" s="359">
        <v>250</v>
      </c>
      <c r="AD16" s="359">
        <v>220</v>
      </c>
      <c r="AE16" s="359">
        <v>180</v>
      </c>
      <c r="AF16" s="359">
        <v>160</v>
      </c>
      <c r="AG16" s="359">
        <v>150</v>
      </c>
      <c r="AH16" s="359">
        <v>140</v>
      </c>
      <c r="AI16" s="359">
        <v>130</v>
      </c>
      <c r="AJ16" s="359">
        <v>120</v>
      </c>
      <c r="AK16" s="359">
        <v>110</v>
      </c>
    </row>
    <row r="17" spans="1:37" ht="12.75">
      <c r="A17" s="274"/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274"/>
      <c r="M17" s="274"/>
      <c r="Y17" s="359"/>
      <c r="Z17" s="359"/>
      <c r="AA17" s="359" t="s">
        <v>89</v>
      </c>
      <c r="AB17" s="359">
        <v>250</v>
      </c>
      <c r="AC17" s="359">
        <v>200</v>
      </c>
      <c r="AD17" s="359">
        <v>160</v>
      </c>
      <c r="AE17" s="359">
        <v>140</v>
      </c>
      <c r="AF17" s="359">
        <v>120</v>
      </c>
      <c r="AG17" s="359">
        <v>110</v>
      </c>
      <c r="AH17" s="359">
        <v>100</v>
      </c>
      <c r="AI17" s="359">
        <v>90</v>
      </c>
      <c r="AJ17" s="359">
        <v>80</v>
      </c>
      <c r="AK17" s="359">
        <v>70</v>
      </c>
    </row>
    <row r="18" spans="1:37" ht="18.75" customHeight="1">
      <c r="A18" s="274"/>
      <c r="B18" s="451"/>
      <c r="C18" s="451"/>
      <c r="D18" s="446" t="str">
        <f>E7</f>
        <v>POHLY</v>
      </c>
      <c r="E18" s="446"/>
      <c r="F18" s="446" t="str">
        <f>E9</f>
        <v>KAMERDA</v>
      </c>
      <c r="G18" s="446"/>
      <c r="H18" s="446" t="str">
        <f>E11</f>
        <v>SZALAI</v>
      </c>
      <c r="I18" s="446"/>
      <c r="J18" s="446" t="str">
        <f>E13</f>
        <v>VARANNAI</v>
      </c>
      <c r="K18" s="446"/>
      <c r="L18" s="274"/>
      <c r="M18" s="274"/>
      <c r="Y18" s="359"/>
      <c r="Z18" s="359"/>
      <c r="AA18" s="359" t="s">
        <v>90</v>
      </c>
      <c r="AB18" s="359">
        <v>200</v>
      </c>
      <c r="AC18" s="359">
        <v>150</v>
      </c>
      <c r="AD18" s="359">
        <v>130</v>
      </c>
      <c r="AE18" s="359">
        <v>110</v>
      </c>
      <c r="AF18" s="359">
        <v>95</v>
      </c>
      <c r="AG18" s="359">
        <v>80</v>
      </c>
      <c r="AH18" s="359">
        <v>70</v>
      </c>
      <c r="AI18" s="359">
        <v>60</v>
      </c>
      <c r="AJ18" s="359">
        <v>55</v>
      </c>
      <c r="AK18" s="359">
        <v>50</v>
      </c>
    </row>
    <row r="19" spans="1:37" ht="18.75" customHeight="1">
      <c r="A19" s="348" t="s">
        <v>64</v>
      </c>
      <c r="B19" s="452" t="str">
        <f>E7</f>
        <v>POHLY</v>
      </c>
      <c r="C19" s="452"/>
      <c r="D19" s="447"/>
      <c r="E19" s="447"/>
      <c r="F19" s="444" t="s">
        <v>181</v>
      </c>
      <c r="G19" s="444"/>
      <c r="H19" s="443" t="s">
        <v>175</v>
      </c>
      <c r="I19" s="444"/>
      <c r="J19" s="445" t="s">
        <v>186</v>
      </c>
      <c r="K19" s="446"/>
      <c r="L19" s="274"/>
      <c r="M19" s="274"/>
      <c r="Y19" s="359"/>
      <c r="Z19" s="359"/>
      <c r="AA19" s="359" t="s">
        <v>91</v>
      </c>
      <c r="AB19" s="359">
        <v>150</v>
      </c>
      <c r="AC19" s="359">
        <v>120</v>
      </c>
      <c r="AD19" s="359">
        <v>100</v>
      </c>
      <c r="AE19" s="359">
        <v>80</v>
      </c>
      <c r="AF19" s="359">
        <v>70</v>
      </c>
      <c r="AG19" s="359">
        <v>60</v>
      </c>
      <c r="AH19" s="359">
        <v>55</v>
      </c>
      <c r="AI19" s="359">
        <v>50</v>
      </c>
      <c r="AJ19" s="359">
        <v>45</v>
      </c>
      <c r="AK19" s="359">
        <v>40</v>
      </c>
    </row>
    <row r="20" spans="1:37" ht="18.75" customHeight="1">
      <c r="A20" s="348" t="s">
        <v>65</v>
      </c>
      <c r="B20" s="452" t="str">
        <f>E9</f>
        <v>KAMERDA</v>
      </c>
      <c r="C20" s="452"/>
      <c r="D20" s="444" t="s">
        <v>174</v>
      </c>
      <c r="E20" s="444"/>
      <c r="F20" s="447"/>
      <c r="G20" s="447"/>
      <c r="H20" s="443" t="s">
        <v>174</v>
      </c>
      <c r="I20" s="444"/>
      <c r="J20" s="443" t="s">
        <v>182</v>
      </c>
      <c r="K20" s="444"/>
      <c r="L20" s="274"/>
      <c r="M20" s="274"/>
      <c r="Y20" s="359"/>
      <c r="Z20" s="359"/>
      <c r="AA20" s="359" t="s">
        <v>92</v>
      </c>
      <c r="AB20" s="359">
        <v>120</v>
      </c>
      <c r="AC20" s="359">
        <v>90</v>
      </c>
      <c r="AD20" s="359">
        <v>65</v>
      </c>
      <c r="AE20" s="359">
        <v>55</v>
      </c>
      <c r="AF20" s="359">
        <v>50</v>
      </c>
      <c r="AG20" s="359">
        <v>45</v>
      </c>
      <c r="AH20" s="359">
        <v>40</v>
      </c>
      <c r="AI20" s="359">
        <v>35</v>
      </c>
      <c r="AJ20" s="359">
        <v>25</v>
      </c>
      <c r="AK20" s="359">
        <v>20</v>
      </c>
    </row>
    <row r="21" spans="1:37" ht="18.75" customHeight="1">
      <c r="A21" s="348" t="s">
        <v>66</v>
      </c>
      <c r="B21" s="452" t="str">
        <f>E11</f>
        <v>SZALAI</v>
      </c>
      <c r="C21" s="452"/>
      <c r="D21" s="443" t="s">
        <v>183</v>
      </c>
      <c r="E21" s="444"/>
      <c r="F21" s="443" t="s">
        <v>181</v>
      </c>
      <c r="G21" s="444"/>
      <c r="H21" s="447"/>
      <c r="I21" s="447"/>
      <c r="J21" s="444" t="s">
        <v>187</v>
      </c>
      <c r="K21" s="444"/>
      <c r="L21" s="274"/>
      <c r="M21" s="274"/>
      <c r="Y21" s="359"/>
      <c r="Z21" s="359"/>
      <c r="AA21" s="359" t="s">
        <v>93</v>
      </c>
      <c r="AB21" s="359">
        <v>90</v>
      </c>
      <c r="AC21" s="359">
        <v>60</v>
      </c>
      <c r="AD21" s="359">
        <v>45</v>
      </c>
      <c r="AE21" s="359">
        <v>34</v>
      </c>
      <c r="AF21" s="359">
        <v>27</v>
      </c>
      <c r="AG21" s="359">
        <v>22</v>
      </c>
      <c r="AH21" s="359">
        <v>18</v>
      </c>
      <c r="AI21" s="359">
        <v>15</v>
      </c>
      <c r="AJ21" s="359">
        <v>12</v>
      </c>
      <c r="AK21" s="359">
        <v>9</v>
      </c>
    </row>
    <row r="22" spans="1:37" ht="18.75" customHeight="1">
      <c r="A22" s="348" t="s">
        <v>71</v>
      </c>
      <c r="B22" s="452" t="str">
        <f>E13</f>
        <v>VARANNAI</v>
      </c>
      <c r="C22" s="452"/>
      <c r="D22" s="443" t="s">
        <v>187</v>
      </c>
      <c r="E22" s="444"/>
      <c r="F22" s="443" t="s">
        <v>179</v>
      </c>
      <c r="G22" s="444"/>
      <c r="H22" s="446" t="s">
        <v>186</v>
      </c>
      <c r="I22" s="446"/>
      <c r="J22" s="447"/>
      <c r="K22" s="447"/>
      <c r="L22" s="274"/>
      <c r="M22" s="274"/>
      <c r="Y22" s="359"/>
      <c r="Z22" s="359"/>
      <c r="AA22" s="359" t="s">
        <v>94</v>
      </c>
      <c r="AB22" s="359">
        <v>60</v>
      </c>
      <c r="AC22" s="359">
        <v>40</v>
      </c>
      <c r="AD22" s="359">
        <v>30</v>
      </c>
      <c r="AE22" s="359">
        <v>20</v>
      </c>
      <c r="AF22" s="359">
        <v>18</v>
      </c>
      <c r="AG22" s="359">
        <v>15</v>
      </c>
      <c r="AH22" s="359">
        <v>12</v>
      </c>
      <c r="AI22" s="359">
        <v>10</v>
      </c>
      <c r="AJ22" s="359">
        <v>8</v>
      </c>
      <c r="AK22" s="359">
        <v>6</v>
      </c>
    </row>
    <row r="23" spans="1:37" ht="12.7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Y23" s="359"/>
      <c r="Z23" s="359"/>
      <c r="AA23" s="359" t="s">
        <v>95</v>
      </c>
      <c r="AB23" s="359">
        <v>40</v>
      </c>
      <c r="AC23" s="359">
        <v>25</v>
      </c>
      <c r="AD23" s="359">
        <v>18</v>
      </c>
      <c r="AE23" s="359">
        <v>13</v>
      </c>
      <c r="AF23" s="359">
        <v>8</v>
      </c>
      <c r="AG23" s="359">
        <v>7</v>
      </c>
      <c r="AH23" s="359">
        <v>6</v>
      </c>
      <c r="AI23" s="359">
        <v>5</v>
      </c>
      <c r="AJ23" s="359">
        <v>4</v>
      </c>
      <c r="AK23" s="359">
        <v>3</v>
      </c>
    </row>
    <row r="24" spans="1:37" ht="12.75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Y24" s="359"/>
      <c r="Z24" s="359"/>
      <c r="AA24" s="359" t="s">
        <v>96</v>
      </c>
      <c r="AB24" s="359">
        <v>25</v>
      </c>
      <c r="AC24" s="359">
        <v>15</v>
      </c>
      <c r="AD24" s="359">
        <v>13</v>
      </c>
      <c r="AE24" s="359">
        <v>7</v>
      </c>
      <c r="AF24" s="359">
        <v>6</v>
      </c>
      <c r="AG24" s="359">
        <v>5</v>
      </c>
      <c r="AH24" s="359">
        <v>4</v>
      </c>
      <c r="AI24" s="359">
        <v>3</v>
      </c>
      <c r="AJ24" s="359">
        <v>2</v>
      </c>
      <c r="AK24" s="359">
        <v>1</v>
      </c>
    </row>
    <row r="25" spans="1:37" ht="12.7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Y25" s="359"/>
      <c r="Z25" s="359"/>
      <c r="AA25" s="359" t="s">
        <v>101</v>
      </c>
      <c r="AB25" s="359">
        <v>15</v>
      </c>
      <c r="AC25" s="359">
        <v>10</v>
      </c>
      <c r="AD25" s="359">
        <v>8</v>
      </c>
      <c r="AE25" s="359">
        <v>4</v>
      </c>
      <c r="AF25" s="359">
        <v>3</v>
      </c>
      <c r="AG25" s="359">
        <v>2</v>
      </c>
      <c r="AH25" s="359">
        <v>1</v>
      </c>
      <c r="AI25" s="359">
        <v>0</v>
      </c>
      <c r="AJ25" s="359">
        <v>0</v>
      </c>
      <c r="AK25" s="359">
        <v>0</v>
      </c>
    </row>
    <row r="26" spans="1:37" ht="12.75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Y26" s="359"/>
      <c r="Z26" s="359"/>
      <c r="AA26" s="359" t="s">
        <v>97</v>
      </c>
      <c r="AB26" s="359">
        <v>10</v>
      </c>
      <c r="AC26" s="359">
        <v>6</v>
      </c>
      <c r="AD26" s="359">
        <v>4</v>
      </c>
      <c r="AE26" s="359">
        <v>2</v>
      </c>
      <c r="AF26" s="359">
        <v>1</v>
      </c>
      <c r="AG26" s="359">
        <v>0</v>
      </c>
      <c r="AH26" s="359">
        <v>0</v>
      </c>
      <c r="AI26" s="359">
        <v>0</v>
      </c>
      <c r="AJ26" s="359">
        <v>0</v>
      </c>
      <c r="AK26" s="359">
        <v>0</v>
      </c>
    </row>
    <row r="27" spans="1:37" ht="12.7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Y27" s="359"/>
      <c r="Z27" s="359"/>
      <c r="AA27" s="359" t="s">
        <v>98</v>
      </c>
      <c r="AB27" s="359">
        <v>3</v>
      </c>
      <c r="AC27" s="359">
        <v>2</v>
      </c>
      <c r="AD27" s="359">
        <v>1</v>
      </c>
      <c r="AE27" s="359">
        <v>0</v>
      </c>
      <c r="AF27" s="359">
        <v>0</v>
      </c>
      <c r="AG27" s="359">
        <v>0</v>
      </c>
      <c r="AH27" s="359">
        <v>0</v>
      </c>
      <c r="AI27" s="359">
        <v>0</v>
      </c>
      <c r="AJ27" s="359">
        <v>0</v>
      </c>
      <c r="AK27" s="359">
        <v>0</v>
      </c>
    </row>
    <row r="28" spans="1:13" ht="12.7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</row>
    <row r="29" spans="1:13" ht="12.7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2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</row>
    <row r="31" spans="1:13" ht="12.7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</row>
    <row r="32" spans="1:19" ht="12.7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52"/>
      <c r="M32" s="274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20" t="s">
        <v>4</v>
      </c>
      <c r="E33" s="321" t="s">
        <v>45</v>
      </c>
      <c r="F33" s="339"/>
      <c r="G33" s="320" t="s">
        <v>4</v>
      </c>
      <c r="H33" s="321" t="s">
        <v>54</v>
      </c>
      <c r="I33" s="161"/>
      <c r="J33" s="321" t="s">
        <v>55</v>
      </c>
      <c r="K33" s="160" t="s">
        <v>56</v>
      </c>
      <c r="L33" s="33"/>
      <c r="M33" s="339"/>
      <c r="O33" s="304"/>
      <c r="P33" s="314"/>
      <c r="Q33" s="314"/>
      <c r="R33" s="315"/>
      <c r="S33" s="304"/>
    </row>
    <row r="34" spans="1:19" ht="12.75">
      <c r="A34" s="285" t="s">
        <v>44</v>
      </c>
      <c r="B34" s="286"/>
      <c r="C34" s="288"/>
      <c r="D34" s="322"/>
      <c r="E34" s="440"/>
      <c r="F34" s="440"/>
      <c r="G34" s="333" t="s">
        <v>5</v>
      </c>
      <c r="H34" s="286"/>
      <c r="I34" s="323"/>
      <c r="J34" s="334"/>
      <c r="K34" s="280" t="s">
        <v>46</v>
      </c>
      <c r="L34" s="340"/>
      <c r="M34" s="324"/>
      <c r="O34" s="304"/>
      <c r="P34" s="316"/>
      <c r="Q34" s="316"/>
      <c r="R34" s="317"/>
      <c r="S34" s="304"/>
    </row>
    <row r="35" spans="1:19" ht="12.75">
      <c r="A35" s="289" t="s">
        <v>53</v>
      </c>
      <c r="B35" s="159"/>
      <c r="C35" s="291"/>
      <c r="D35" s="325"/>
      <c r="E35" s="441"/>
      <c r="F35" s="441"/>
      <c r="G35" s="335" t="s">
        <v>6</v>
      </c>
      <c r="H35" s="326"/>
      <c r="I35" s="327"/>
      <c r="J35" s="85"/>
      <c r="K35" s="337"/>
      <c r="L35" s="252"/>
      <c r="M35" s="332"/>
      <c r="O35" s="304"/>
      <c r="P35" s="317"/>
      <c r="Q35" s="318"/>
      <c r="R35" s="317"/>
      <c r="S35" s="304"/>
    </row>
    <row r="36" spans="1:19" ht="12.75">
      <c r="A36" s="174"/>
      <c r="B36" s="175"/>
      <c r="C36" s="176"/>
      <c r="D36" s="325"/>
      <c r="E36" s="329"/>
      <c r="F36" s="330"/>
      <c r="G36" s="335" t="s">
        <v>7</v>
      </c>
      <c r="H36" s="326"/>
      <c r="I36" s="327"/>
      <c r="J36" s="85"/>
      <c r="K36" s="280" t="s">
        <v>47</v>
      </c>
      <c r="L36" s="340"/>
      <c r="M36" s="324"/>
      <c r="O36" s="304"/>
      <c r="P36" s="316"/>
      <c r="Q36" s="316"/>
      <c r="R36" s="317"/>
      <c r="S36" s="304"/>
    </row>
    <row r="37" spans="1:19" ht="12.75">
      <c r="A37" s="150"/>
      <c r="B37" s="206"/>
      <c r="C37" s="151"/>
      <c r="D37" s="325"/>
      <c r="E37" s="329"/>
      <c r="F37" s="330"/>
      <c r="G37" s="335" t="s">
        <v>8</v>
      </c>
      <c r="H37" s="326"/>
      <c r="I37" s="327"/>
      <c r="J37" s="85"/>
      <c r="K37" s="338"/>
      <c r="L37" s="330"/>
      <c r="M37" s="328"/>
      <c r="O37" s="304"/>
      <c r="P37" s="317"/>
      <c r="Q37" s="318"/>
      <c r="R37" s="317"/>
      <c r="S37" s="304"/>
    </row>
    <row r="38" spans="1:19" ht="12.75">
      <c r="A38" s="163"/>
      <c r="B38" s="177"/>
      <c r="C38" s="210"/>
      <c r="D38" s="325"/>
      <c r="E38" s="329"/>
      <c r="F38" s="330"/>
      <c r="G38" s="335" t="s">
        <v>9</v>
      </c>
      <c r="H38" s="326"/>
      <c r="I38" s="327"/>
      <c r="J38" s="85"/>
      <c r="K38" s="289"/>
      <c r="L38" s="252"/>
      <c r="M38" s="332"/>
      <c r="O38" s="304"/>
      <c r="P38" s="317"/>
      <c r="Q38" s="318"/>
      <c r="R38" s="317"/>
      <c r="S38" s="304"/>
    </row>
    <row r="39" spans="1:19" ht="12.75">
      <c r="A39" s="164"/>
      <c r="B39" s="180"/>
      <c r="C39" s="151"/>
      <c r="D39" s="325"/>
      <c r="E39" s="329"/>
      <c r="F39" s="330"/>
      <c r="G39" s="335" t="s">
        <v>10</v>
      </c>
      <c r="H39" s="326"/>
      <c r="I39" s="327"/>
      <c r="J39" s="85"/>
      <c r="K39" s="280" t="s">
        <v>33</v>
      </c>
      <c r="L39" s="340"/>
      <c r="M39" s="324"/>
      <c r="O39" s="304"/>
      <c r="P39" s="316"/>
      <c r="Q39" s="316"/>
      <c r="R39" s="317"/>
      <c r="S39" s="304"/>
    </row>
    <row r="40" spans="1:19" ht="12.75">
      <c r="A40" s="164"/>
      <c r="B40" s="180"/>
      <c r="C40" s="172"/>
      <c r="D40" s="325"/>
      <c r="E40" s="329"/>
      <c r="F40" s="330"/>
      <c r="G40" s="335" t="s">
        <v>11</v>
      </c>
      <c r="H40" s="326"/>
      <c r="I40" s="327"/>
      <c r="J40" s="85"/>
      <c r="K40" s="338"/>
      <c r="L40" s="330"/>
      <c r="M40" s="328"/>
      <c r="O40" s="304"/>
      <c r="P40" s="317"/>
      <c r="Q40" s="318"/>
      <c r="R40" s="317"/>
      <c r="S40" s="304"/>
    </row>
    <row r="41" spans="1:19" ht="12.75">
      <c r="A41" s="165"/>
      <c r="B41" s="162"/>
      <c r="C41" s="173"/>
      <c r="D41" s="331"/>
      <c r="E41" s="152"/>
      <c r="F41" s="252"/>
      <c r="G41" s="336" t="s">
        <v>12</v>
      </c>
      <c r="H41" s="159"/>
      <c r="I41" s="282"/>
      <c r="J41" s="154"/>
      <c r="K41" s="289" t="str">
        <f>M4</f>
        <v>Kádár László</v>
      </c>
      <c r="L41" s="252"/>
      <c r="M41" s="332"/>
      <c r="O41" s="304"/>
      <c r="P41" s="317"/>
      <c r="Q41" s="318"/>
      <c r="R41" s="319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D14" sqref="D14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1" customWidth="1"/>
    <col min="5" max="5" width="12.140625" style="392" customWidth="1"/>
    <col min="6" max="6" width="6.140625" style="92" hidden="1" customWidth="1"/>
    <col min="7" max="7" width="31.4218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Budapest Város Szenior Bajnokság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08" t="str">
        <f>Altalanos!$D$8</f>
        <v>Fe80+</v>
      </c>
      <c r="D2" s="104"/>
      <c r="E2" s="202" t="s">
        <v>34</v>
      </c>
      <c r="F2" s="93"/>
      <c r="G2" s="93"/>
      <c r="H2" s="380"/>
      <c r="I2" s="380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75" t="s">
        <v>50</v>
      </c>
      <c r="B3" s="378"/>
      <c r="C3" s="378"/>
      <c r="D3" s="378"/>
      <c r="E3" s="378"/>
      <c r="F3" s="378"/>
      <c r="G3" s="378"/>
      <c r="H3" s="378"/>
      <c r="I3" s="379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394" t="s">
        <v>30</v>
      </c>
      <c r="I4" s="385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 t="str">
        <f>Altalanos!$A$10</f>
        <v>2020.07.10-12.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Kádár László</v>
      </c>
      <c r="I5" s="395"/>
      <c r="J5" s="111"/>
      <c r="K5" s="83"/>
      <c r="L5" s="83"/>
      <c r="M5" s="83"/>
      <c r="N5" s="111"/>
      <c r="O5" s="91"/>
      <c r="P5" s="91"/>
      <c r="Q5" s="399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108</v>
      </c>
      <c r="H6" s="381" t="s">
        <v>37</v>
      </c>
      <c r="I6" s="382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160</v>
      </c>
      <c r="C7" s="94" t="s">
        <v>161</v>
      </c>
      <c r="D7" s="95"/>
      <c r="E7" s="422">
        <v>400909</v>
      </c>
      <c r="F7" s="423"/>
      <c r="G7" s="424">
        <v>80</v>
      </c>
      <c r="H7" s="95"/>
      <c r="I7" s="95"/>
      <c r="J7" s="187"/>
      <c r="K7" s="185"/>
      <c r="L7" s="189"/>
      <c r="M7" s="185"/>
      <c r="N7" s="179"/>
      <c r="O7" s="405"/>
      <c r="P7" s="113"/>
      <c r="Q7" s="96"/>
    </row>
    <row r="8" spans="1:17" s="11" customFormat="1" ht="18.75" customHeight="1">
      <c r="A8" s="190">
        <v>2</v>
      </c>
      <c r="B8" s="429" t="s">
        <v>165</v>
      </c>
      <c r="C8" s="430" t="s">
        <v>116</v>
      </c>
      <c r="D8" s="431"/>
      <c r="E8" s="432" t="s">
        <v>162</v>
      </c>
      <c r="F8" s="433"/>
      <c r="G8" s="434">
        <v>80</v>
      </c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163</v>
      </c>
      <c r="C9" s="94" t="s">
        <v>145</v>
      </c>
      <c r="D9" s="95"/>
      <c r="E9" s="205" t="s">
        <v>164</v>
      </c>
      <c r="F9" s="112"/>
      <c r="G9" s="112">
        <v>80</v>
      </c>
      <c r="H9" s="95"/>
      <c r="I9" s="95"/>
      <c r="J9" s="187"/>
      <c r="K9" s="185"/>
      <c r="L9" s="189"/>
      <c r="M9" s="185"/>
      <c r="N9" s="179"/>
      <c r="O9" s="95"/>
      <c r="P9" s="387"/>
      <c r="Q9" s="213"/>
    </row>
    <row r="10" spans="1:17" s="11" customFormat="1" ht="18.75" customHeight="1">
      <c r="A10" s="190">
        <v>4</v>
      </c>
      <c r="B10" s="94"/>
      <c r="C10" s="94"/>
      <c r="D10" s="95"/>
      <c r="E10" s="205"/>
      <c r="F10" s="376"/>
      <c r="G10" s="377"/>
      <c r="H10" s="95"/>
      <c r="I10" s="95"/>
      <c r="J10" s="187"/>
      <c r="K10" s="185"/>
      <c r="L10" s="189"/>
      <c r="M10" s="185"/>
      <c r="N10" s="179"/>
      <c r="O10" s="95"/>
      <c r="P10" s="386"/>
      <c r="Q10" s="383"/>
    </row>
    <row r="11" spans="1:17" s="11" customFormat="1" ht="18.75" customHeight="1">
      <c r="A11" s="190">
        <v>5</v>
      </c>
      <c r="B11" s="94"/>
      <c r="C11" s="94"/>
      <c r="D11" s="95"/>
      <c r="E11" s="205"/>
      <c r="F11" s="376"/>
      <c r="G11" s="377"/>
      <c r="H11" s="95"/>
      <c r="I11" s="95"/>
      <c r="J11" s="187"/>
      <c r="K11" s="185"/>
      <c r="L11" s="189"/>
      <c r="M11" s="185"/>
      <c r="N11" s="179"/>
      <c r="O11" s="95"/>
      <c r="P11" s="386"/>
      <c r="Q11" s="383"/>
    </row>
    <row r="12" spans="1:17" s="11" customFormat="1" ht="18.75" customHeight="1">
      <c r="A12" s="190">
        <v>6</v>
      </c>
      <c r="B12" s="94"/>
      <c r="C12" s="94"/>
      <c r="D12" s="95"/>
      <c r="E12" s="205"/>
      <c r="F12" s="376"/>
      <c r="G12" s="377"/>
      <c r="H12" s="95"/>
      <c r="I12" s="95"/>
      <c r="J12" s="187"/>
      <c r="K12" s="185"/>
      <c r="L12" s="189"/>
      <c r="M12" s="185"/>
      <c r="N12" s="179"/>
      <c r="O12" s="95"/>
      <c r="P12" s="386"/>
      <c r="Q12" s="383"/>
    </row>
    <row r="13" spans="1:17" s="11" customFormat="1" ht="18.75" customHeight="1">
      <c r="A13" s="190">
        <v>7</v>
      </c>
      <c r="B13" s="94"/>
      <c r="C13" s="94"/>
      <c r="D13" s="95"/>
      <c r="E13" s="205"/>
      <c r="F13" s="376"/>
      <c r="G13" s="377"/>
      <c r="H13" s="95"/>
      <c r="I13" s="95"/>
      <c r="J13" s="187"/>
      <c r="K13" s="185"/>
      <c r="L13" s="189"/>
      <c r="M13" s="185"/>
      <c r="N13" s="179"/>
      <c r="O13" s="95"/>
      <c r="P13" s="386"/>
      <c r="Q13" s="383"/>
    </row>
    <row r="14" spans="1:17" s="11" customFormat="1" ht="18.75" customHeight="1">
      <c r="A14" s="190">
        <v>8</v>
      </c>
      <c r="B14" s="94"/>
      <c r="C14" s="94"/>
      <c r="D14" s="95"/>
      <c r="E14" s="205"/>
      <c r="F14" s="376"/>
      <c r="G14" s="377"/>
      <c r="H14" s="95"/>
      <c r="I14" s="95"/>
      <c r="J14" s="187"/>
      <c r="K14" s="185"/>
      <c r="L14" s="189"/>
      <c r="M14" s="185"/>
      <c r="N14" s="179"/>
      <c r="O14" s="95"/>
      <c r="P14" s="386"/>
      <c r="Q14" s="383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06"/>
      <c r="F28" s="396"/>
      <c r="G28" s="397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0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393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84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84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84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84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84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84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84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84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84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84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84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84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84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84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84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84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84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84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84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84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84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84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84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84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84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84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84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84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84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84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84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84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84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84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84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84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84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84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84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84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84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84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84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84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84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84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84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84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84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84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84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84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84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84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84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84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84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84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84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84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84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84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84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84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84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84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84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84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84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84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84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84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84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84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84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84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84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84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84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84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84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84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84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84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84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84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84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84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84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84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84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84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84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84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84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84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84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84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84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84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84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84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84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84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84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84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84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84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84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84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84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84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84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84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84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84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84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84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84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25" dxfId="6" stopIfTrue="1">
      <formula>AND(ROUNDDOWN(($A$4-E7)/365.25,0)&lt;=13,G7&lt;&gt;"OK")</formula>
    </cfRule>
    <cfRule type="expression" priority="26" dxfId="5" stopIfTrue="1">
      <formula>AND(ROUNDDOWN(($A$4-E7)/365.25,0)&lt;=14,G7&lt;&gt;"OK")</formula>
    </cfRule>
    <cfRule type="expression" priority="27" dxfId="4" stopIfTrue="1">
      <formula>AND(ROUNDDOWN(($A$4-E7)/365.25,0)&lt;=17,G7&lt;&gt;"OK")</formula>
    </cfRule>
  </conditionalFormatting>
  <conditionalFormatting sqref="J7:J156">
    <cfRule type="cellIs" priority="24" dxfId="20" operator="equal" stopIfTrue="1">
      <formula>"Z"</formula>
    </cfRule>
  </conditionalFormatting>
  <conditionalFormatting sqref="A7:D156">
    <cfRule type="expression" priority="23" dxfId="2" stopIfTrue="1">
      <formula>$Q7&gt;=1</formula>
    </cfRule>
  </conditionalFormatting>
  <conditionalFormatting sqref="E7:E14">
    <cfRule type="expression" priority="20" dxfId="6" stopIfTrue="1">
      <formula>AND(ROUNDDOWN(($A$4-E7)/365.25,0)&lt;=13,G7&lt;&gt;"OK")</formula>
    </cfRule>
    <cfRule type="expression" priority="21" dxfId="5" stopIfTrue="1">
      <formula>AND(ROUNDDOWN(($A$4-E7)/365.25,0)&lt;=14,G7&lt;&gt;"OK")</formula>
    </cfRule>
    <cfRule type="expression" priority="22" dxfId="4" stopIfTrue="1">
      <formula>AND(ROUNDDOWN(($A$4-E7)/365.25,0)&lt;=17,G7&lt;&gt;"OK")</formula>
    </cfRule>
  </conditionalFormatting>
  <conditionalFormatting sqref="J7:J14">
    <cfRule type="cellIs" priority="19" dxfId="20" operator="equal" stopIfTrue="1">
      <formula>"Z"</formula>
    </cfRule>
  </conditionalFormatting>
  <conditionalFormatting sqref="B7:D14">
    <cfRule type="expression" priority="18" dxfId="2" stopIfTrue="1">
      <formula>$Q7&gt;=1</formula>
    </cfRule>
  </conditionalFormatting>
  <conditionalFormatting sqref="E7:E14">
    <cfRule type="expression" priority="15" dxfId="6" stopIfTrue="1">
      <formula>AND(ROUNDDOWN(($A$4-E7)/365.25,0)&lt;=13,G7&lt;&gt;"OK")</formula>
    </cfRule>
    <cfRule type="expression" priority="16" dxfId="5" stopIfTrue="1">
      <formula>AND(ROUNDDOWN(($A$4-E7)/365.25,0)&lt;=14,G7&lt;&gt;"OK")</formula>
    </cfRule>
    <cfRule type="expression" priority="17" dxfId="4" stopIfTrue="1">
      <formula>AND(ROUNDDOWN(($A$4-E7)/365.25,0)&lt;=17,G7&lt;&gt;"OK")</formula>
    </cfRule>
  </conditionalFormatting>
  <conditionalFormatting sqref="B7:D14">
    <cfRule type="expression" priority="14" dxfId="2" stopIfTrue="1">
      <formula>$Q7&gt;=1</formula>
    </cfRule>
  </conditionalFormatting>
  <conditionalFormatting sqref="E7:E27 E29:E37">
    <cfRule type="expression" priority="11" dxfId="6" stopIfTrue="1">
      <formula>AND(ROUNDDOWN(($A$4-E7)/365.25,0)&lt;=13,G7&lt;&gt;"OK")</formula>
    </cfRule>
    <cfRule type="expression" priority="12" dxfId="5" stopIfTrue="1">
      <formula>AND(ROUNDDOWN(($A$4-E7)/365.25,0)&lt;=14,G7&lt;&gt;"OK")</formula>
    </cfRule>
    <cfRule type="expression" priority="13" dxfId="4" stopIfTrue="1">
      <formula>AND(ROUNDDOWN(($A$4-E7)/365.25,0)&lt;=17,G7&lt;&gt;"OK")</formula>
    </cfRule>
  </conditionalFormatting>
  <conditionalFormatting sqref="B7:D37">
    <cfRule type="expression" priority="10" dxfId="2" stopIfTrue="1">
      <formula>$Q7&gt;=1</formula>
    </cfRule>
  </conditionalFormatting>
  <conditionalFormatting sqref="E7:E9">
    <cfRule type="expression" priority="7" dxfId="6" stopIfTrue="1">
      <formula>AND(ROUNDDOWN(($A$4-E7)/365.25,0)&lt;=13,G7&lt;&gt;"OK")</formula>
    </cfRule>
    <cfRule type="expression" priority="8" dxfId="5" stopIfTrue="1">
      <formula>AND(ROUNDDOWN(($A$4-E7)/365.25,0)&lt;=14,G7&lt;&gt;"OK")</formula>
    </cfRule>
    <cfRule type="expression" priority="9" dxfId="4" stopIfTrue="1">
      <formula>AND(ROUNDDOWN(($A$4-E7)/365.25,0)&lt;=17,G7&lt;&gt;"OK")</formula>
    </cfRule>
  </conditionalFormatting>
  <conditionalFormatting sqref="B7:D9">
    <cfRule type="expression" priority="6" dxfId="2" stopIfTrue="1">
      <formula>$Q7&gt;=1</formula>
    </cfRule>
  </conditionalFormatting>
  <conditionalFormatting sqref="E9 E7">
    <cfRule type="expression" priority="3" dxfId="6" stopIfTrue="1">
      <formula>AND(ROUNDDOWN(($A$4-E7)/365.25,0)&lt;=13,G7&lt;&gt;"OK")</formula>
    </cfRule>
    <cfRule type="expression" priority="4" dxfId="5" stopIfTrue="1">
      <formula>AND(ROUNDDOWN(($A$4-E7)/365.25,0)&lt;=14,G7&lt;&gt;"OK")</formula>
    </cfRule>
    <cfRule type="expression" priority="5" dxfId="4" stopIfTrue="1">
      <formula>AND(ROUNDDOWN(($A$4-E7)/365.25,0)&lt;=17,G7&lt;&gt;"OK")</formula>
    </cfRule>
  </conditionalFormatting>
  <conditionalFormatting sqref="B9:D9">
    <cfRule type="expression" priority="2" dxfId="2" stopIfTrue="1">
      <formula>$Q9&gt;=1</formula>
    </cfRule>
  </conditionalFormatting>
  <conditionalFormatting sqref="B7:D7">
    <cfRule type="expression" priority="1" dxfId="2" stopIfTrue="1">
      <formula>$Q8&gt;=1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2020-08-10T20:00:37Z</dcterms:modified>
  <cp:category>Forms</cp:category>
  <cp:version/>
  <cp:contentType/>
  <cp:contentStatus/>
</cp:coreProperties>
</file>