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9"/>
  </bookViews>
  <sheets>
    <sheet name="Altalanos" sheetId="1" r:id="rId1"/>
    <sheet name="Birók" sheetId="2" r:id="rId2"/>
    <sheet name="35elő" sheetId="3" r:id="rId3"/>
    <sheet name="N35+" sheetId="4" r:id="rId4"/>
    <sheet name="N50+" sheetId="5" r:id="rId5"/>
    <sheet name="50+" sheetId="6" r:id="rId6"/>
    <sheet name="60elő" sheetId="7" r:id="rId7"/>
    <sheet name="N60+" sheetId="8" r:id="rId8"/>
    <sheet name="70elő" sheetId="9" r:id="rId9"/>
    <sheet name="N70+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'35elő'!$1:$6</definedName>
    <definedName name="_xlnm.Print_Titles" localSheetId="6">'60elő'!$1:$6</definedName>
    <definedName name="_xlnm.Print_Titles" localSheetId="8">'70elő'!$1:$6</definedName>
    <definedName name="_xlnm.Print_Titles" localSheetId="4">'N50+'!$1:$6</definedName>
    <definedName name="_xlnm.Print_Area" localSheetId="2">'35elő'!$A$1:$Q$134</definedName>
    <definedName name="_xlnm.Print_Area" localSheetId="5">'50+'!$A$1:$M$41</definedName>
    <definedName name="_xlnm.Print_Area" localSheetId="6">'60elő'!$A$1:$Q$134</definedName>
    <definedName name="_xlnm.Print_Area" localSheetId="8">'70elő'!$A$1:$Q$134</definedName>
    <definedName name="_xlnm.Print_Area" localSheetId="1">'Birók'!$A$1:$N$29</definedName>
    <definedName name="_xlnm.Print_Area" localSheetId="3">'N35+'!$A$1:$M$41</definedName>
    <definedName name="_xlnm.Print_Area" localSheetId="4">'N50+'!$A$1:$Q$134</definedName>
    <definedName name="_xlnm.Print_Area" localSheetId="7">'N60+'!$A$1:$M$41</definedName>
    <definedName name="_xlnm.Print_Area" localSheetId="9">'N70+'!$A$1:$M$41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<sst xmlns="http://schemas.openxmlformats.org/spreadsheetml/2006/main" count="541" uniqueCount="177">
  <si>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</si>
  <si>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</si>
  <si>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</si>
  <si>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</si>
  <si>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</si>
  <si>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</si>
  <si>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</si>
  <si>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</si>
  <si>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</si>
  <si>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</si>
  <si>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</si>
  <si>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</si>
  <si>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</si>
  <si>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</si>
  <si>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</si>
  <si>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</si>
  <si>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</si>
  <si>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</si>
  <si>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</si>
  <si>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</si>
  <si>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</si>
  <si>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</si>
  <si>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</si>
  <si>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</si>
  <si>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</si>
  <si>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</si>
  <si>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</si>
  <si>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</si>
  <si>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</si>
  <si>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</si>
  <si>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</si>
  <si>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</si>
  <si>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</si>
  <si>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</si>
  <si>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</si>
  <si>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</si>
  <si>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</si>
  <si>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</si>
  <si>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</si>
  <si>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</si>
  <si>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</si>
  <si>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</si>
  <si>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</si>
  <si>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</si>
  <si>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</si>
  <si>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</si>
  <si>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</si>
  <si>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</si>
  <si>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</si>
  <si>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</si>
  <si>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</si>
  <si>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</si>
  <si>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</si>
  <si>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</si>
  <si>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</si>
  <si>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</si>
  <si>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</si>
  <si>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</si>
  <si>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</si>
  <si>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</si>
  <si>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</si>
  <si>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</si>
  <si>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</si>
  <si>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</si>
  <si>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</si>
  <si>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</si>
  <si>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</si>
  <si>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</si>
  <si>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</si>
  <si>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</si>
  <si>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</si>
  <si>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</si>
  <si>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</si>
  <si>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</si>
  <si>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</si>
  <si>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</si>
  <si>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</si>
  <si>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</si>
  <si>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</si>
  <si>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</si>
  <si>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</si>
  <si>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</si>
  <si>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</si>
  <si>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</si>
  <si>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</si>
  <si>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</si>
  <si>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</si>
  <si>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</si>
  <si>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</si>
  <si>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</si>
  <si>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</si>
  <si>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</si>
  <si>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</si>
  <si>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</si>
  <si>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</si>
  <si>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</si>
  <si>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</si>
  <si>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</si>
  <si>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</si>
  <si>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</si>
  <si>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</si>
  <si>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</si>
  <si>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Budapest Város Szenior Bajnokság</t>
  </si>
  <si>
    <t>2020.07.10-12.</t>
  </si>
  <si>
    <t>Budapest</t>
  </si>
  <si>
    <t>Kádár László</t>
  </si>
  <si>
    <t>BTSZ</t>
  </si>
  <si>
    <t>Miklósi Zsoltné</t>
  </si>
  <si>
    <t>Batke</t>
  </si>
  <si>
    <t>Krisztina</t>
  </si>
  <si>
    <t>730118</t>
  </si>
  <si>
    <t>Nádori</t>
  </si>
  <si>
    <t>Katalin</t>
  </si>
  <si>
    <t>561120</t>
  </si>
  <si>
    <t xml:space="preserve">Simon </t>
  </si>
  <si>
    <t>Mária</t>
  </si>
  <si>
    <t>630309</t>
  </si>
  <si>
    <t>Szabó</t>
  </si>
  <si>
    <t>Zsófi</t>
  </si>
  <si>
    <t xml:space="preserve">Pintér </t>
  </si>
  <si>
    <t>Nóri</t>
  </si>
  <si>
    <t>Póka</t>
  </si>
  <si>
    <t>Ágnes</t>
  </si>
  <si>
    <t>490416</t>
  </si>
  <si>
    <t>Boros</t>
  </si>
  <si>
    <t>Zsuzsa</t>
  </si>
  <si>
    <t>Bogár Szabó</t>
  </si>
  <si>
    <t>Éva</t>
  </si>
  <si>
    <t xml:space="preserve">Dr. Török </t>
  </si>
  <si>
    <t>Erzsébet</t>
  </si>
  <si>
    <t>441001</t>
  </si>
  <si>
    <t>Bojtor</t>
  </si>
  <si>
    <t>Ildikó</t>
  </si>
  <si>
    <t>600101</t>
  </si>
  <si>
    <t>Sápi</t>
  </si>
  <si>
    <t>Zsófia</t>
  </si>
  <si>
    <t>Wu Xiaoping</t>
  </si>
  <si>
    <t>Bércesi</t>
  </si>
  <si>
    <t>Juli</t>
  </si>
  <si>
    <t>500405</t>
  </si>
  <si>
    <t>Morhardt</t>
  </si>
  <si>
    <t>Vera</t>
  </si>
  <si>
    <t>811121</t>
  </si>
  <si>
    <t>Barcs</t>
  </si>
  <si>
    <t>Nóra</t>
  </si>
  <si>
    <t>Női 35+</t>
  </si>
  <si>
    <t>Női 50+</t>
  </si>
  <si>
    <t>Női 60+</t>
  </si>
  <si>
    <t>Női 70+</t>
  </si>
  <si>
    <t>8/3</t>
  </si>
  <si>
    <t>8/0</t>
  </si>
  <si>
    <t>3/8</t>
  </si>
  <si>
    <t>8/2</t>
  </si>
  <si>
    <t>2/8</t>
  </si>
  <si>
    <t>0/8</t>
  </si>
  <si>
    <t>8/1</t>
  </si>
  <si>
    <t>1/8</t>
  </si>
  <si>
    <t>6/2 6/3</t>
  </si>
  <si>
    <t>2/6 3/6</t>
  </si>
  <si>
    <t>jn nyert</t>
  </si>
  <si>
    <t>jn veszt</t>
  </si>
  <si>
    <t>8/6</t>
  </si>
  <si>
    <t>8/5</t>
  </si>
  <si>
    <t>5/8</t>
  </si>
  <si>
    <t>6/8</t>
  </si>
  <si>
    <t>jn</t>
  </si>
  <si>
    <t>780102</t>
  </si>
  <si>
    <t>800926</t>
  </si>
  <si>
    <t>521224</t>
  </si>
  <si>
    <t>641023</t>
  </si>
  <si>
    <t>590101</t>
  </si>
  <si>
    <t>580820</t>
  </si>
  <si>
    <t>I.</t>
  </si>
  <si>
    <t>II.</t>
  </si>
  <si>
    <t>III.</t>
  </si>
  <si>
    <t>V.</t>
  </si>
  <si>
    <t>IV.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</si>
</sst>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0"/>
      <color indexed="8"/>
      <name val="HelveticaNeue"/>
      <family val="0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HelveticaNeue"/>
      <family val="0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0" fillId="38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0" borderId="0" xfId="0" applyFill="1" applyAlignment="1">
      <alignment/>
    </xf>
    <xf numFmtId="0" fontId="14" fillId="41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1" fillId="37" borderId="16" xfId="0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2" fillId="42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78" fillId="0" borderId="27" xfId="0" applyFont="1" applyBorder="1" applyAlignment="1">
      <alignment/>
    </xf>
    <xf numFmtId="0" fontId="0" fillId="0" borderId="0" xfId="0" applyFont="1" applyAlignment="1">
      <alignment vertical="center"/>
    </xf>
    <xf numFmtId="49" fontId="0" fillId="37" borderId="0" xfId="0" applyNumberFormat="1" applyFill="1" applyAlignment="1">
      <alignment/>
    </xf>
    <xf numFmtId="14" fontId="23" fillId="33" borderId="35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43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 shrinkToFit="1"/>
    </xf>
    <xf numFmtId="0" fontId="8" fillId="37" borderId="35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49" fontId="0" fillId="33" borderId="14" xfId="0" applyNumberFormat="1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4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9" fillId="44" borderId="44" xfId="0" applyNumberFormat="1" applyFont="1" applyFill="1" applyBorder="1" applyAlignment="1">
      <alignment horizontal="center"/>
    </xf>
    <xf numFmtId="0" fontId="79" fillId="37" borderId="0" xfId="0" applyFont="1" applyFill="1" applyAlignment="1">
      <alignment horizontal="center"/>
    </xf>
    <xf numFmtId="0" fontId="79" fillId="37" borderId="0" xfId="0" applyFont="1" applyFill="1" applyAlignment="1">
      <alignment/>
    </xf>
    <xf numFmtId="0" fontId="0" fillId="38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1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95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75"/>
      <c r="F5" s="21"/>
      <c r="G5" s="22"/>
    </row>
    <row r="6" spans="1:7" s="2" customFormat="1" ht="26.25">
      <c r="A6" s="307" t="s">
        <v>102</v>
      </c>
      <c r="B6" s="276"/>
      <c r="C6" s="23"/>
      <c r="D6" s="24"/>
      <c r="E6" s="25"/>
      <c r="F6" s="5"/>
      <c r="G6" s="5"/>
    </row>
    <row r="7" spans="1:7" s="18" customFormat="1" ht="15" customHeight="1">
      <c r="A7" s="262" t="s">
        <v>96</v>
      </c>
      <c r="B7" s="262" t="s">
        <v>97</v>
      </c>
      <c r="C7" s="262" t="s">
        <v>98</v>
      </c>
      <c r="D7" s="262" t="s">
        <v>99</v>
      </c>
      <c r="E7" s="262" t="s">
        <v>100</v>
      </c>
      <c r="F7" s="21"/>
      <c r="G7" s="22"/>
    </row>
    <row r="8" spans="1:7" s="2" customFormat="1" ht="16.5" customHeight="1">
      <c r="A8" s="174" t="s">
        <v>145</v>
      </c>
      <c r="B8" s="174" t="s">
        <v>146</v>
      </c>
      <c r="C8" s="174" t="s">
        <v>147</v>
      </c>
      <c r="D8" s="174" t="s">
        <v>148</v>
      </c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ht="12.75">
      <c r="A10" s="27" t="s">
        <v>103</v>
      </c>
      <c r="B10" s="28"/>
      <c r="C10" s="29" t="s">
        <v>104</v>
      </c>
      <c r="D10" s="155" t="s">
        <v>56</v>
      </c>
      <c r="E10" s="267" t="s">
        <v>105</v>
      </c>
      <c r="F10" s="5"/>
      <c r="G10" s="5"/>
    </row>
    <row r="11" spans="1:7" ht="12.75">
      <c r="A11" s="19"/>
      <c r="B11" s="20"/>
      <c r="C11" s="168" t="s">
        <v>54</v>
      </c>
      <c r="D11" s="168" t="s">
        <v>92</v>
      </c>
      <c r="E11" s="168" t="s">
        <v>93</v>
      </c>
      <c r="F11" s="31"/>
      <c r="G11" s="31"/>
    </row>
    <row r="12" spans="1:7" s="2" customFormat="1" ht="12.75">
      <c r="A12" s="126"/>
      <c r="B12" s="5"/>
      <c r="C12" s="175"/>
      <c r="D12" s="175" t="s">
        <v>106</v>
      </c>
      <c r="E12" s="175" t="s">
        <v>107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1"/>
      <c r="C17" s="12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3" hidden="1" customWidth="1"/>
    <col min="26" max="37" width="0" style="263" hidden="1" customWidth="1"/>
  </cols>
  <sheetData>
    <row r="1" spans="1:37" ht="26.25">
      <c r="A1" s="320" t="str">
        <f>Altalanos!$A$6</f>
        <v>Budapest Város Szenior Bajnokság</v>
      </c>
      <c r="B1" s="320"/>
      <c r="C1" s="320"/>
      <c r="D1" s="320"/>
      <c r="E1" s="320"/>
      <c r="F1" s="320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Y1"/>
      <c r="Z1"/>
      <c r="AA1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06" t="str">
        <f>Altalanos!$D$8</f>
        <v>Női 70+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3"/>
      <c r="O3" s="212"/>
      <c r="P3" s="213"/>
      <c r="Q3" s="255" t="s">
        <v>66</v>
      </c>
      <c r="R3" s="256" t="s">
        <v>72</v>
      </c>
      <c r="S3" s="209"/>
      <c r="Y3" s="264">
        <f>IF(H4="OB","A",IF(H4="IX","W",H4))</f>
        <v>0</v>
      </c>
      <c r="Z3" s="264"/>
      <c r="AA3" s="264" t="s">
        <v>82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321" t="str">
        <f>Altalanos!$A$10</f>
        <v>2020.07.10-12.</v>
      </c>
      <c r="B4" s="321"/>
      <c r="C4" s="321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5"/>
      <c r="O4" s="216"/>
      <c r="P4" s="215"/>
      <c r="Q4" s="257" t="s">
        <v>73</v>
      </c>
      <c r="R4" s="258" t="s">
        <v>68</v>
      </c>
      <c r="S4" s="209"/>
      <c r="Y4" s="264"/>
      <c r="Z4" s="264"/>
      <c r="AA4" s="264" t="s">
        <v>83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 ht="12.75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09"/>
      <c r="Q5" s="259" t="s">
        <v>74</v>
      </c>
      <c r="R5" s="260" t="s">
        <v>70</v>
      </c>
      <c r="S5" s="209"/>
      <c r="Y5" s="264">
        <f>IF(OR(Altalanos!$A$8="F1",Altalanos!$A$8="F2",Altalanos!$A$8="N1",Altalanos!$A$8="N2"),1,2)</f>
        <v>2</v>
      </c>
      <c r="Z5" s="264"/>
      <c r="AA5" s="264" t="s">
        <v>84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 ht="12.75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09"/>
      <c r="Q6" s="209"/>
      <c r="R6" s="209"/>
      <c r="S6" s="209"/>
      <c r="Y6" s="264"/>
      <c r="Z6" s="264"/>
      <c r="AA6" s="264" t="s">
        <v>85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 ht="12.75">
      <c r="A7" s="217" t="s">
        <v>57</v>
      </c>
      <c r="B7" s="248">
        <v>1</v>
      </c>
      <c r="C7" s="203" t="str">
        <f>IF($B7="","",VLOOKUP($B7,'70elő'!$A$7:$O$22,5))</f>
        <v>490416</v>
      </c>
      <c r="D7" s="203">
        <f>IF($B7="","",VLOOKUP($B7,'70elő'!$A$7:$O$22,15))</f>
        <v>0</v>
      </c>
      <c r="E7" s="201" t="str">
        <f>UPPER(IF($B7="","",VLOOKUP($B7,'70elő'!$A$7:$O$22,2)))</f>
        <v>PÓKA</v>
      </c>
      <c r="F7" s="204"/>
      <c r="G7" s="201" t="str">
        <f>IF($B7="","",VLOOKUP($B7,'70elő'!$A$7:$O$22,3))</f>
        <v>Ágnes</v>
      </c>
      <c r="H7" s="204"/>
      <c r="I7" s="201">
        <f>IF($B7="","",VLOOKUP($B7,'70elő'!$A$7:$O$22,4))</f>
        <v>0</v>
      </c>
      <c r="J7" s="193"/>
      <c r="K7" s="330" t="s">
        <v>172</v>
      </c>
      <c r="L7" s="327">
        <v>200</v>
      </c>
      <c r="M7" s="272"/>
      <c r="N7" s="209"/>
      <c r="O7" s="209"/>
      <c r="P7" s="209"/>
      <c r="Q7" s="209"/>
      <c r="R7" s="209"/>
      <c r="S7" s="209"/>
      <c r="Y7" s="264"/>
      <c r="Z7" s="264"/>
      <c r="AA7" s="264" t="s">
        <v>86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 ht="12.75">
      <c r="A8" s="217"/>
      <c r="B8" s="249"/>
      <c r="C8" s="218"/>
      <c r="D8" s="218"/>
      <c r="E8" s="218"/>
      <c r="F8" s="218"/>
      <c r="G8" s="218"/>
      <c r="H8" s="218"/>
      <c r="I8" s="218"/>
      <c r="J8" s="193"/>
      <c r="K8" s="217"/>
      <c r="L8" s="328"/>
      <c r="M8" s="273"/>
      <c r="N8" s="209"/>
      <c r="O8" s="209"/>
      <c r="P8" s="209"/>
      <c r="Q8" s="209"/>
      <c r="R8" s="209"/>
      <c r="S8" s="209"/>
      <c r="Y8" s="264"/>
      <c r="Z8" s="264"/>
      <c r="AA8" s="264" t="s">
        <v>87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 ht="12.75">
      <c r="A9" s="217" t="s">
        <v>58</v>
      </c>
      <c r="B9" s="248">
        <v>2</v>
      </c>
      <c r="C9" s="203" t="str">
        <f>IF($B9="","",VLOOKUP($B9,'70elő'!$A$7:$O$22,5))</f>
        <v>500405</v>
      </c>
      <c r="D9" s="203">
        <f>IF($B9="","",VLOOKUP($B9,'70elő'!$A$7:$O$22,15))</f>
        <v>0</v>
      </c>
      <c r="E9" s="201" t="str">
        <f>UPPER(IF($B9="","",VLOOKUP($B9,'70elő'!$A$7:$O$22,2)))</f>
        <v>BÉRCESI</v>
      </c>
      <c r="F9" s="204"/>
      <c r="G9" s="201" t="str">
        <f>IF($B9="","",VLOOKUP($B9,'70elő'!$A$7:$O$22,3))</f>
        <v>Juli</v>
      </c>
      <c r="H9" s="204"/>
      <c r="I9" s="201">
        <f>IF($B9="","",VLOOKUP($B9,'70elő'!$A$7:$O$22,4))</f>
        <v>0</v>
      </c>
      <c r="J9" s="193"/>
      <c r="K9" s="330" t="s">
        <v>173</v>
      </c>
      <c r="L9" s="327">
        <v>140</v>
      </c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 ht="12.75">
      <c r="A10" s="217"/>
      <c r="B10" s="249"/>
      <c r="C10" s="218"/>
      <c r="D10" s="218"/>
      <c r="E10" s="218"/>
      <c r="F10" s="218"/>
      <c r="G10" s="218"/>
      <c r="H10" s="218"/>
      <c r="I10" s="218"/>
      <c r="J10" s="193"/>
      <c r="K10" s="217"/>
      <c r="L10" s="328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 ht="12.75">
      <c r="A11" s="217" t="s">
        <v>59</v>
      </c>
      <c r="B11" s="248">
        <v>3</v>
      </c>
      <c r="C11" s="203" t="str">
        <f>IF($B11="","",VLOOKUP($B11,'70elő'!$A$7:$O$22,5))</f>
        <v>441001</v>
      </c>
      <c r="D11" s="203">
        <f>IF($B11="","",VLOOKUP($B11,'70elő'!$A$7:$O$22,15))</f>
        <v>0</v>
      </c>
      <c r="E11" s="201" t="str">
        <f>UPPER(IF($B11="","",VLOOKUP($B11,'70elő'!$A$7:$O$22,2)))</f>
        <v>DR. TÖRÖK </v>
      </c>
      <c r="F11" s="204"/>
      <c r="G11" s="201" t="str">
        <f>IF($B11="","",VLOOKUP($B11,'70elő'!$A$7:$O$22,3))</f>
        <v>Erzsébet</v>
      </c>
      <c r="H11" s="204"/>
      <c r="I11" s="201">
        <f>IF($B11="","",VLOOKUP($B11,'70elő'!$A$7:$O$22,4))</f>
        <v>0</v>
      </c>
      <c r="J11" s="193"/>
      <c r="K11" s="271"/>
      <c r="L11" s="327">
        <f>IF(K11="","",CONCATENATE(VLOOKUP($Y$3,$AB$1:$AK$1,K11)," pont"))</f>
      </c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64"/>
      <c r="Z12" s="264"/>
      <c r="AA12" s="264" t="s">
        <v>90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64"/>
      <c r="Z13" s="264"/>
      <c r="AA13" s="264" t="s">
        <v>91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23"/>
      <c r="C18" s="323"/>
      <c r="D18" s="324" t="str">
        <f>E7</f>
        <v>PÓKA</v>
      </c>
      <c r="E18" s="324"/>
      <c r="F18" s="324" t="str">
        <f>E9</f>
        <v>BÉRCESI</v>
      </c>
      <c r="G18" s="324"/>
      <c r="H18" s="324" t="str">
        <f>E11</f>
        <v>DR. TÖRÖK </v>
      </c>
      <c r="I18" s="324"/>
      <c r="J18" s="193"/>
      <c r="K18" s="193"/>
      <c r="L18" s="193"/>
      <c r="M18" s="193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22" t="str">
        <f>E7</f>
        <v>PÓKA</v>
      </c>
      <c r="C19" s="322"/>
      <c r="D19" s="325"/>
      <c r="E19" s="325"/>
      <c r="F19" s="326" t="s">
        <v>157</v>
      </c>
      <c r="G19" s="326"/>
      <c r="H19" s="326" t="s">
        <v>159</v>
      </c>
      <c r="I19" s="326"/>
      <c r="J19" s="193"/>
      <c r="K19" s="193"/>
      <c r="L19" s="193"/>
      <c r="M19" s="193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22" t="str">
        <f>E9</f>
        <v>BÉRCESI</v>
      </c>
      <c r="C20" s="322"/>
      <c r="D20" s="326" t="s">
        <v>158</v>
      </c>
      <c r="E20" s="326"/>
      <c r="F20" s="325"/>
      <c r="G20" s="325"/>
      <c r="H20" s="326" t="s">
        <v>159</v>
      </c>
      <c r="I20" s="326"/>
      <c r="J20" s="193"/>
      <c r="K20" s="193"/>
      <c r="L20" s="193"/>
      <c r="M20" s="193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22" t="str">
        <f>E11</f>
        <v>DR. TÖRÖK </v>
      </c>
      <c r="C21" s="322"/>
      <c r="D21" s="326" t="s">
        <v>160</v>
      </c>
      <c r="E21" s="326"/>
      <c r="F21" s="326" t="s">
        <v>160</v>
      </c>
      <c r="G21" s="326"/>
      <c r="H21" s="325"/>
      <c r="I21" s="325"/>
      <c r="J21" s="193"/>
      <c r="K21" s="193"/>
      <c r="L21" s="193"/>
      <c r="M21" s="193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2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09"/>
      <c r="P32" s="209"/>
      <c r="Q32" s="209"/>
      <c r="R32" s="209"/>
      <c r="S32" s="209"/>
    </row>
    <row r="33" spans="1:19" ht="12.75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300"/>
      <c r="N33" s="299"/>
      <c r="O33" s="209"/>
      <c r="P33" s="219"/>
      <c r="Q33" s="219"/>
      <c r="R33" s="220"/>
      <c r="S33" s="209"/>
    </row>
    <row r="34" spans="1:19" ht="12.75">
      <c r="A34" s="196" t="s">
        <v>39</v>
      </c>
      <c r="B34" s="197"/>
      <c r="C34" s="198"/>
      <c r="D34" s="227"/>
      <c r="E34" s="316"/>
      <c r="F34" s="316"/>
      <c r="G34" s="238" t="s">
        <v>3</v>
      </c>
      <c r="H34" s="197"/>
      <c r="I34" s="228"/>
      <c r="J34" s="239"/>
      <c r="K34" s="194" t="s">
        <v>41</v>
      </c>
      <c r="L34" s="245"/>
      <c r="M34" s="233"/>
      <c r="O34" s="209"/>
      <c r="P34" s="221"/>
      <c r="Q34" s="221"/>
      <c r="R34" s="222"/>
      <c r="S34" s="209"/>
    </row>
    <row r="35" spans="1:19" ht="12.75">
      <c r="A35" s="199" t="s">
        <v>48</v>
      </c>
      <c r="B35" s="117"/>
      <c r="C35" s="200"/>
      <c r="D35" s="230"/>
      <c r="E35" s="317"/>
      <c r="F35" s="317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 ht="12.75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 ht="12.75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 ht="12.75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 ht="12.75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 ht="12.75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 ht="12.75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L4</f>
        <v>Kádár László</v>
      </c>
      <c r="L41" s="192"/>
      <c r="M41" s="237"/>
      <c r="O41" s="209"/>
      <c r="P41" s="222"/>
      <c r="Q41" s="223"/>
      <c r="R41" s="224"/>
      <c r="S41" s="209"/>
    </row>
    <row r="42" spans="15:19" ht="12.75">
      <c r="O42" s="209"/>
      <c r="P42" s="209"/>
      <c r="Q42" s="209"/>
      <c r="R42" s="209"/>
      <c r="S42" s="209"/>
    </row>
    <row r="43" spans="15:19" ht="12.75">
      <c r="O43" s="209"/>
      <c r="P43" s="209"/>
      <c r="Q43" s="209"/>
      <c r="R43" s="209"/>
      <c r="S43" s="209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Budapest Város Szenior Bajnokság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2020.07.10-12.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11" t="s">
        <v>23</v>
      </c>
      <c r="B6" s="311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52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53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0" sqref="E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92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Budapest Város Szenior Bajnokság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85" t="str">
        <f>Altalanos!$A$8</f>
        <v>Női 35+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2020.07.10-12.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117</v>
      </c>
      <c r="C7" s="90" t="s">
        <v>118</v>
      </c>
      <c r="D7" s="91"/>
      <c r="E7" s="162" t="s">
        <v>142</v>
      </c>
      <c r="F7" s="278"/>
      <c r="G7" s="279"/>
      <c r="H7" s="91">
        <v>35</v>
      </c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75" customHeight="1">
      <c r="A8" s="147">
        <v>2</v>
      </c>
      <c r="B8" s="90" t="s">
        <v>119</v>
      </c>
      <c r="C8" s="90" t="s">
        <v>120</v>
      </c>
      <c r="D8" s="91"/>
      <c r="E8" s="162" t="s">
        <v>166</v>
      </c>
      <c r="F8" s="280"/>
      <c r="G8" s="281"/>
      <c r="H8" s="91">
        <v>40</v>
      </c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134</v>
      </c>
      <c r="C9" s="90" t="s">
        <v>135</v>
      </c>
      <c r="D9" s="91"/>
      <c r="E9" s="162" t="s">
        <v>167</v>
      </c>
      <c r="F9" s="280"/>
      <c r="G9" s="281"/>
      <c r="H9" s="91">
        <v>40</v>
      </c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75" customHeight="1">
      <c r="A10" s="147">
        <v>4</v>
      </c>
      <c r="B10" s="90" t="s">
        <v>140</v>
      </c>
      <c r="C10" s="90" t="s">
        <v>141</v>
      </c>
      <c r="D10" s="91"/>
      <c r="E10" s="162"/>
      <c r="F10" s="280"/>
      <c r="G10" s="281"/>
      <c r="H10" s="91">
        <v>40</v>
      </c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75" customHeight="1">
      <c r="A11" s="147">
        <v>5</v>
      </c>
      <c r="B11" s="90" t="s">
        <v>108</v>
      </c>
      <c r="C11" s="90" t="s">
        <v>109</v>
      </c>
      <c r="D11" s="91"/>
      <c r="E11" s="162" t="s">
        <v>110</v>
      </c>
      <c r="F11" s="280"/>
      <c r="G11" s="281"/>
      <c r="H11" s="91">
        <v>45</v>
      </c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75" customHeight="1">
      <c r="A12" s="147">
        <v>6</v>
      </c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75" customHeight="1">
      <c r="A13" s="147">
        <v>7</v>
      </c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75" customHeight="1">
      <c r="A14" s="147">
        <v>8</v>
      </c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75" customHeight="1">
      <c r="A15" s="147">
        <v>9</v>
      </c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71">IF(Q40="",999,Q40)</f>
        <v>999</v>
      </c>
      <c r="M40" s="169">
        <f aca="true" t="shared" si="1" ref="M40:M71">IF(P40=999,999,1)</f>
        <v>999</v>
      </c>
      <c r="N40" s="167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aca="true" t="shared" si="3" ref="L72:L100">IF(Q72="",999,Q72)</f>
        <v>999</v>
      </c>
      <c r="M72" s="169">
        <f aca="true" t="shared" si="4" ref="M72:M100">IF(P72=999,999,1)</f>
        <v>999</v>
      </c>
      <c r="N72" s="167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aca="true" t="shared" si="6" ref="L101:L134">IF(Q101="",999,Q101)</f>
        <v>999</v>
      </c>
      <c r="M101" s="169">
        <f aca="true" t="shared" si="7" ref="M101:M134">IF(P101=999,999,1)</f>
        <v>999</v>
      </c>
      <c r="N101" s="167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aca="true" t="shared" si="9" ref="L135:L156">IF(Q135="",999,Q135)</f>
        <v>999</v>
      </c>
      <c r="M135" s="169">
        <f aca="true" t="shared" si="10" ref="M135:M156">IF(P135=999,999,1)</f>
        <v>999</v>
      </c>
      <c r="N135" s="167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sheetProtection/>
  <conditionalFormatting sqref="E22:E156 E7:E11">
    <cfRule type="expression" priority="30" dxfId="5" stopIfTrue="1">
      <formula>AND(ROUNDDOWN(($A$4-E7)/365.25,0)&lt;=13,G7&lt;&gt;"OK")</formula>
    </cfRule>
    <cfRule type="expression" priority="31" dxfId="4" stopIfTrue="1">
      <formula>AND(ROUNDDOWN(($A$4-E7)/365.25,0)&lt;=14,G7&lt;&gt;"OK")</formula>
    </cfRule>
    <cfRule type="expression" priority="32" dxfId="3" stopIfTrue="1">
      <formula>AND(ROUNDDOWN(($A$4-E7)/365.25,0)&lt;=17,G7&lt;&gt;"OK")</formula>
    </cfRule>
  </conditionalFormatting>
  <conditionalFormatting sqref="J7:J156">
    <cfRule type="cellIs" priority="33" dxfId="27" operator="equal" stopIfTrue="1">
      <formula>"Z"</formula>
    </cfRule>
  </conditionalFormatting>
  <conditionalFormatting sqref="A7:A156 B7:D11 B22:D156">
    <cfRule type="expression" priority="34" dxfId="2" stopIfTrue="1">
      <formula>$Q7&gt;=1</formula>
    </cfRule>
  </conditionalFormatting>
  <conditionalFormatting sqref="B7:D11">
    <cfRule type="expression" priority="25" dxfId="2" stopIfTrue="1">
      <formula>$Q7&gt;=1</formula>
    </cfRule>
  </conditionalFormatting>
  <conditionalFormatting sqref="B7:D11">
    <cfRule type="expression" priority="21" dxfId="2" stopIfTrue="1">
      <formula>$Q7&gt;=1</formula>
    </cfRule>
  </conditionalFormatting>
  <conditionalFormatting sqref="E29:E37 E22:E27">
    <cfRule type="expression" priority="18" dxfId="5" stopIfTrue="1">
      <formula>AND(ROUNDDOWN(($A$4-E22)/365.25,0)&lt;=13,G22&lt;&gt;"OK")</formula>
    </cfRule>
    <cfRule type="expression" priority="19" dxfId="4" stopIfTrue="1">
      <formula>AND(ROUNDDOWN(($A$4-E22)/365.25,0)&lt;=14,G22&lt;&gt;"OK")</formula>
    </cfRule>
    <cfRule type="expression" priority="20" dxfId="3" stopIfTrue="1">
      <formula>AND(ROUNDDOWN(($A$4-E22)/365.25,0)&lt;=17,G22&lt;&gt;"OK")</formula>
    </cfRule>
  </conditionalFormatting>
  <conditionalFormatting sqref="B7:D11 B22:D37">
    <cfRule type="expression" priority="17" dxfId="2" stopIfTrue="1">
      <formula>$Q7&gt;=1</formula>
    </cfRule>
  </conditionalFormatting>
  <conditionalFormatting sqref="B7:D11">
    <cfRule type="expression" priority="13" dxfId="2" stopIfTrue="1">
      <formula>$Q7&gt;=1</formula>
    </cfRule>
  </conditionalFormatting>
  <conditionalFormatting sqref="B7:D11">
    <cfRule type="expression" priority="9" dxfId="2" stopIfTrue="1">
      <formula>$Q7&gt;=1</formula>
    </cfRule>
  </conditionalFormatting>
  <conditionalFormatting sqref="B7:D11">
    <cfRule type="expression" priority="5" dxfId="2" stopIfTrue="1">
      <formula>$Q7&gt;=1</formula>
    </cfRule>
  </conditionalFormatting>
  <conditionalFormatting sqref="B7:D11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4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320" t="str">
        <f>Altalanos!$A$6</f>
        <v>Budapest Város Szenior Bajnokság</v>
      </c>
      <c r="B1" s="320"/>
      <c r="C1" s="320"/>
      <c r="D1" s="320"/>
      <c r="E1" s="320"/>
      <c r="F1" s="320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183" t="str">
        <f>Altalanos!$A$8</f>
        <v>Női 35+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3"/>
      <c r="O3" s="212"/>
      <c r="P3" s="213"/>
      <c r="Q3" s="212"/>
      <c r="R3" s="214"/>
      <c r="S3" s="209"/>
      <c r="Y3" s="264">
        <f>IF(H4="OB","A",IF(H4="IX","W",H4))</f>
        <v>0</v>
      </c>
      <c r="Z3" s="264"/>
      <c r="AA3" s="264" t="s">
        <v>82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321" t="str">
        <f>Altalanos!$A$10</f>
        <v>2020.07.10-12.</v>
      </c>
      <c r="B4" s="321"/>
      <c r="C4" s="321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5"/>
      <c r="O4" s="216"/>
      <c r="P4" s="255" t="s">
        <v>66</v>
      </c>
      <c r="Q4" s="256" t="s">
        <v>75</v>
      </c>
      <c r="R4" s="256" t="s">
        <v>71</v>
      </c>
      <c r="S4" s="254"/>
      <c r="Y4" s="264"/>
      <c r="Z4" s="264"/>
      <c r="AA4" s="264" t="s">
        <v>83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 ht="12.75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57" t="s">
        <v>73</v>
      </c>
      <c r="Q5" s="258" t="s">
        <v>69</v>
      </c>
      <c r="R5" s="258" t="s">
        <v>76</v>
      </c>
      <c r="S5" s="254"/>
      <c r="Y5" s="264">
        <f>IF(OR(Altalanos!$A$8="F1",Altalanos!$A$8="F2",Altalanos!$A$8="N1",Altalanos!$A$8="N2"),1,2)</f>
        <v>2</v>
      </c>
      <c r="Z5" s="264"/>
      <c r="AA5" s="264" t="s">
        <v>84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 ht="12.75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59" t="s">
        <v>74</v>
      </c>
      <c r="Q6" s="260" t="s">
        <v>77</v>
      </c>
      <c r="R6" s="260" t="s">
        <v>72</v>
      </c>
      <c r="S6" s="254"/>
      <c r="Y6" s="264"/>
      <c r="Z6" s="264"/>
      <c r="AA6" s="264" t="s">
        <v>85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 ht="12.75">
      <c r="A7" s="217" t="s">
        <v>57</v>
      </c>
      <c r="B7" s="248">
        <v>1</v>
      </c>
      <c r="C7" s="250" t="str">
        <f>IF($B7="","",VLOOKUP($B7,'35elő'!$A$7:$O$22,5))</f>
        <v>811121</v>
      </c>
      <c r="D7" s="250">
        <f>IF($B7="","",VLOOKUP($B7,'35elő'!$A$7:$O$22,15))</f>
        <v>0</v>
      </c>
      <c r="E7" s="318" t="str">
        <f>UPPER(IF($B7="","",VLOOKUP($B7,'35elő'!$A$7:$O$22,2)))</f>
        <v>SZABÓ</v>
      </c>
      <c r="F7" s="318"/>
      <c r="G7" s="318" t="str">
        <f>IF($B7="","",VLOOKUP($B7,'35elő'!$A$7:$O$22,3))</f>
        <v>Zsófi</v>
      </c>
      <c r="H7" s="318"/>
      <c r="I7" s="251">
        <f>IF($B7="","",VLOOKUP($B7,'35elő'!$A$7:$O$22,4))</f>
        <v>0</v>
      </c>
      <c r="J7" s="193"/>
      <c r="K7" s="271" t="s">
        <v>172</v>
      </c>
      <c r="L7" s="327">
        <v>200</v>
      </c>
      <c r="M7" s="272"/>
      <c r="N7" s="209"/>
      <c r="O7" s="209"/>
      <c r="P7" s="255" t="s">
        <v>80</v>
      </c>
      <c r="Q7" s="256" t="s">
        <v>68</v>
      </c>
      <c r="R7" s="256" t="s">
        <v>78</v>
      </c>
      <c r="S7" s="209"/>
      <c r="Y7" s="264"/>
      <c r="Z7" s="264"/>
      <c r="AA7" s="264" t="s">
        <v>86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 ht="12.75">
      <c r="A8" s="217"/>
      <c r="B8" s="249"/>
      <c r="C8" s="252"/>
      <c r="D8" s="252"/>
      <c r="E8" s="252"/>
      <c r="F8" s="252"/>
      <c r="G8" s="252"/>
      <c r="H8" s="252"/>
      <c r="I8" s="252"/>
      <c r="J8" s="193"/>
      <c r="K8" s="217"/>
      <c r="L8" s="328"/>
      <c r="M8" s="273"/>
      <c r="N8" s="209"/>
      <c r="O8" s="209"/>
      <c r="P8" s="257" t="s">
        <v>81</v>
      </c>
      <c r="Q8" s="258" t="s">
        <v>70</v>
      </c>
      <c r="R8" s="258" t="s">
        <v>79</v>
      </c>
      <c r="S8" s="209"/>
      <c r="Y8" s="264"/>
      <c r="Z8" s="264"/>
      <c r="AA8" s="264" t="s">
        <v>87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 ht="12.75">
      <c r="A9" s="217" t="s">
        <v>58</v>
      </c>
      <c r="B9" s="248">
        <v>2</v>
      </c>
      <c r="C9" s="250" t="str">
        <f>IF($B9="","",VLOOKUP($B9,'35elő'!$A$7:$O$22,5))</f>
        <v>780102</v>
      </c>
      <c r="D9" s="250">
        <f>IF($B9="","",VLOOKUP($B9,'35elő'!$A$7:$O$22,15))</f>
        <v>0</v>
      </c>
      <c r="E9" s="318" t="str">
        <f>UPPER(IF($B9="","",VLOOKUP($B9,'35elő'!$A$7:$O$22,2)))</f>
        <v>PINTÉR </v>
      </c>
      <c r="F9" s="318"/>
      <c r="G9" s="318" t="str">
        <f>IF($B9="","",VLOOKUP($B9,'35elő'!$A$7:$O$22,3))</f>
        <v>Nóri</v>
      </c>
      <c r="H9" s="318"/>
      <c r="I9" s="251">
        <f>IF($B9="","",VLOOKUP($B9,'35elő'!$A$7:$O$22,4))</f>
        <v>0</v>
      </c>
      <c r="J9" s="193"/>
      <c r="K9" s="271" t="s">
        <v>173</v>
      </c>
      <c r="L9" s="327">
        <v>140</v>
      </c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 ht="12.75">
      <c r="A10" s="217"/>
      <c r="B10" s="249"/>
      <c r="C10" s="252"/>
      <c r="D10" s="252"/>
      <c r="E10" s="252"/>
      <c r="F10" s="252"/>
      <c r="G10" s="252"/>
      <c r="H10" s="252"/>
      <c r="I10" s="252"/>
      <c r="J10" s="193"/>
      <c r="K10" s="217"/>
      <c r="L10" s="328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 ht="12.75">
      <c r="A11" s="217" t="s">
        <v>59</v>
      </c>
      <c r="B11" s="248">
        <v>3</v>
      </c>
      <c r="C11" s="250" t="str">
        <f>IF($B11="","",VLOOKUP($B11,'35elő'!$A$7:$O$22,5))</f>
        <v>800926</v>
      </c>
      <c r="D11" s="250">
        <f>IF($B11="","",VLOOKUP($B11,'35elő'!$A$7:$O$22,15))</f>
        <v>0</v>
      </c>
      <c r="E11" s="318" t="str">
        <f>UPPER(IF($B11="","",VLOOKUP($B11,'35elő'!$A$7:$O$22,2)))</f>
        <v>SÁPI</v>
      </c>
      <c r="F11" s="318"/>
      <c r="G11" s="318" t="str">
        <f>IF($B11="","",VLOOKUP($B11,'35elő'!$A$7:$O$22,3))</f>
        <v>Zsófia</v>
      </c>
      <c r="H11" s="318"/>
      <c r="I11" s="251">
        <f>IF($B11="","",VLOOKUP($B11,'35elő'!$A$7:$O$22,4))</f>
        <v>0</v>
      </c>
      <c r="J11" s="193"/>
      <c r="K11" s="271" t="s">
        <v>176</v>
      </c>
      <c r="L11" s="327">
        <v>90</v>
      </c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 ht="12.75">
      <c r="A12" s="217"/>
      <c r="B12" s="249"/>
      <c r="C12" s="252"/>
      <c r="D12" s="252"/>
      <c r="E12" s="252"/>
      <c r="F12" s="252"/>
      <c r="G12" s="252"/>
      <c r="H12" s="252"/>
      <c r="I12" s="252"/>
      <c r="J12" s="193"/>
      <c r="K12" s="246"/>
      <c r="L12" s="329"/>
      <c r="M12" s="274"/>
      <c r="Y12" s="264"/>
      <c r="Z12" s="264"/>
      <c r="AA12" s="264" t="s">
        <v>90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 ht="12.75">
      <c r="A13" s="217" t="s">
        <v>64</v>
      </c>
      <c r="B13" s="248">
        <v>4</v>
      </c>
      <c r="C13" s="250">
        <f>IF($B13="","",VLOOKUP($B13,'35elő'!$A$7:$O$22,5))</f>
        <v>0</v>
      </c>
      <c r="D13" s="250">
        <f>IF($B13="","",VLOOKUP($B13,'35elő'!$A$7:$O$22,15))</f>
        <v>0</v>
      </c>
      <c r="E13" s="318" t="str">
        <f>UPPER(IF($B13="","",VLOOKUP($B13,'35elő'!$A$7:$O$22,2)))</f>
        <v>MORHARDT</v>
      </c>
      <c r="F13" s="318"/>
      <c r="G13" s="318" t="str">
        <f>IF($B13="","",VLOOKUP($B13,'35elő'!$A$7:$O$22,3))</f>
        <v>Vera</v>
      </c>
      <c r="H13" s="318"/>
      <c r="I13" s="251">
        <f>IF($B13="","",VLOOKUP($B13,'35elő'!$A$7:$O$22,4))</f>
        <v>0</v>
      </c>
      <c r="J13" s="193"/>
      <c r="K13" s="271" t="s">
        <v>175</v>
      </c>
      <c r="L13" s="327">
        <v>60</v>
      </c>
      <c r="M13" s="272"/>
      <c r="Y13" s="264"/>
      <c r="Z13" s="264"/>
      <c r="AA13" s="264" t="s">
        <v>91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 ht="12.75">
      <c r="A14" s="217"/>
      <c r="B14" s="249"/>
      <c r="C14" s="252"/>
      <c r="D14" s="252"/>
      <c r="E14" s="252"/>
      <c r="F14" s="252"/>
      <c r="G14" s="252"/>
      <c r="H14" s="252"/>
      <c r="I14" s="252"/>
      <c r="J14" s="193"/>
      <c r="K14" s="217"/>
      <c r="L14" s="328"/>
      <c r="M14" s="27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217" t="s">
        <v>65</v>
      </c>
      <c r="B15" s="248">
        <v>5</v>
      </c>
      <c r="C15" s="250" t="str">
        <f>IF($B15="","",VLOOKUP($B15,'35elő'!$A$7:$O$22,5))</f>
        <v>730118</v>
      </c>
      <c r="D15" s="250">
        <f>IF($B15="","",VLOOKUP($B15,'35elő'!$A$7:$O$22,15))</f>
        <v>0</v>
      </c>
      <c r="E15" s="318" t="str">
        <f>UPPER(IF($B15="","",VLOOKUP($B15,'35elő'!$A$7:$O$22,2)))</f>
        <v>BATKE</v>
      </c>
      <c r="F15" s="318"/>
      <c r="G15" s="318" t="str">
        <f>IF($B15="","",VLOOKUP($B15,'35elő'!$A$7:$O$22,3))</f>
        <v>Krisztina</v>
      </c>
      <c r="H15" s="318"/>
      <c r="I15" s="251">
        <f>IF($B15="","",VLOOKUP($B15,'35elő'!$A$7:$O$22,4))</f>
        <v>0</v>
      </c>
      <c r="J15" s="193"/>
      <c r="K15" s="271" t="s">
        <v>174</v>
      </c>
      <c r="L15" s="327">
        <v>90</v>
      </c>
      <c r="M15" s="272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ht="12.75">
      <c r="A17" s="193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19"/>
      <c r="C18" s="319"/>
      <c r="D18" s="312" t="str">
        <f>E7</f>
        <v>SZABÓ</v>
      </c>
      <c r="E18" s="312"/>
      <c r="F18" s="312" t="str">
        <f>E9</f>
        <v>PINTÉR </v>
      </c>
      <c r="G18" s="312"/>
      <c r="H18" s="312" t="str">
        <f>E11</f>
        <v>SÁPI</v>
      </c>
      <c r="I18" s="312"/>
      <c r="J18" s="312" t="str">
        <f>E13</f>
        <v>MORHARDT</v>
      </c>
      <c r="K18" s="312"/>
      <c r="L18" s="312" t="str">
        <f>E15</f>
        <v>BATKE</v>
      </c>
      <c r="M18" s="312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15" t="str">
        <f>E7</f>
        <v>SZABÓ</v>
      </c>
      <c r="C19" s="315"/>
      <c r="D19" s="313"/>
      <c r="E19" s="313"/>
      <c r="F19" s="314" t="s">
        <v>149</v>
      </c>
      <c r="G19" s="314"/>
      <c r="H19" s="314" t="s">
        <v>155</v>
      </c>
      <c r="I19" s="314"/>
      <c r="J19" s="312" t="s">
        <v>150</v>
      </c>
      <c r="K19" s="312"/>
      <c r="L19" s="312" t="s">
        <v>161</v>
      </c>
      <c r="M19" s="312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15" t="str">
        <f>E9</f>
        <v>PINTÉR </v>
      </c>
      <c r="C20" s="315"/>
      <c r="D20" s="314" t="s">
        <v>151</v>
      </c>
      <c r="E20" s="314"/>
      <c r="F20" s="313"/>
      <c r="G20" s="313"/>
      <c r="H20" s="314" t="s">
        <v>152</v>
      </c>
      <c r="I20" s="314"/>
      <c r="J20" s="314" t="s">
        <v>149</v>
      </c>
      <c r="K20" s="314"/>
      <c r="L20" s="312" t="s">
        <v>149</v>
      </c>
      <c r="M20" s="312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15" t="str">
        <f>E11</f>
        <v>SÁPI</v>
      </c>
      <c r="C21" s="315"/>
      <c r="D21" s="314" t="s">
        <v>156</v>
      </c>
      <c r="E21" s="314"/>
      <c r="F21" s="314" t="s">
        <v>153</v>
      </c>
      <c r="G21" s="314"/>
      <c r="H21" s="313"/>
      <c r="I21" s="313"/>
      <c r="J21" s="314" t="s">
        <v>162</v>
      </c>
      <c r="K21" s="314"/>
      <c r="L21" s="314" t="s">
        <v>156</v>
      </c>
      <c r="M21" s="314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>
      <c r="A22" s="253" t="s">
        <v>64</v>
      </c>
      <c r="B22" s="315" t="str">
        <f>E13</f>
        <v>MORHARDT</v>
      </c>
      <c r="C22" s="315"/>
      <c r="D22" s="314" t="s">
        <v>154</v>
      </c>
      <c r="E22" s="314"/>
      <c r="F22" s="314" t="s">
        <v>151</v>
      </c>
      <c r="G22" s="314"/>
      <c r="H22" s="312" t="s">
        <v>163</v>
      </c>
      <c r="I22" s="312"/>
      <c r="J22" s="313"/>
      <c r="K22" s="313"/>
      <c r="L22" s="314" t="s">
        <v>156</v>
      </c>
      <c r="M22" s="314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8.75" customHeight="1">
      <c r="A23" s="253" t="s">
        <v>65</v>
      </c>
      <c r="B23" s="315" t="str">
        <f>E15</f>
        <v>BATKE</v>
      </c>
      <c r="C23" s="315"/>
      <c r="D23" s="314" t="s">
        <v>164</v>
      </c>
      <c r="E23" s="314"/>
      <c r="F23" s="314" t="s">
        <v>151</v>
      </c>
      <c r="G23" s="314"/>
      <c r="H23" s="312" t="s">
        <v>155</v>
      </c>
      <c r="I23" s="312"/>
      <c r="J23" s="312" t="s">
        <v>155</v>
      </c>
      <c r="K23" s="312"/>
      <c r="L23" s="313"/>
      <c r="M23" s="31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9"/>
      <c r="P32" s="209"/>
      <c r="Q32" s="209"/>
      <c r="R32" s="209"/>
      <c r="S32" s="209"/>
    </row>
    <row r="33" spans="1:19" ht="12.75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244"/>
      <c r="O33" s="209"/>
      <c r="P33" s="219"/>
      <c r="Q33" s="219"/>
      <c r="R33" s="220"/>
      <c r="S33" s="209"/>
    </row>
    <row r="34" spans="1:19" ht="12.75">
      <c r="A34" s="196" t="s">
        <v>39</v>
      </c>
      <c r="B34" s="197"/>
      <c r="C34" s="198"/>
      <c r="D34" s="227"/>
      <c r="E34" s="316"/>
      <c r="F34" s="316"/>
      <c r="G34" s="238" t="s">
        <v>3</v>
      </c>
      <c r="H34" s="197"/>
      <c r="I34" s="228"/>
      <c r="J34" s="239"/>
      <c r="K34" s="194" t="s">
        <v>41</v>
      </c>
      <c r="L34" s="245"/>
      <c r="M34" s="229"/>
      <c r="O34" s="209"/>
      <c r="P34" s="221"/>
      <c r="Q34" s="221"/>
      <c r="R34" s="222"/>
      <c r="S34" s="209"/>
    </row>
    <row r="35" spans="1:19" ht="12.75">
      <c r="A35" s="199" t="s">
        <v>48</v>
      </c>
      <c r="B35" s="117"/>
      <c r="C35" s="200"/>
      <c r="D35" s="230"/>
      <c r="E35" s="317"/>
      <c r="F35" s="317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 ht="12.75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 ht="12.75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 ht="12.75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 ht="12.75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 ht="12.75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 ht="12.75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L4</f>
        <v>Kádár László</v>
      </c>
      <c r="L41" s="192"/>
      <c r="M41" s="237"/>
      <c r="O41" s="209"/>
      <c r="P41" s="222"/>
      <c r="Q41" s="223"/>
      <c r="R41" s="224"/>
      <c r="S41" s="209"/>
    </row>
    <row r="42" spans="15:19" ht="12.75">
      <c r="O42" s="209"/>
      <c r="P42" s="209"/>
      <c r="Q42" s="209"/>
      <c r="R42" s="209"/>
      <c r="S42" s="209"/>
    </row>
    <row r="43" spans="15:19" ht="12.75">
      <c r="O43" s="209"/>
      <c r="P43" s="209"/>
      <c r="Q43" s="209"/>
      <c r="R43" s="209"/>
      <c r="S43" s="209"/>
    </row>
  </sheetData>
  <sheetProtection/>
  <mergeCells count="50">
    <mergeCell ref="E9:F9"/>
    <mergeCell ref="G9:H9"/>
    <mergeCell ref="E11:F11"/>
    <mergeCell ref="G11:H11"/>
    <mergeCell ref="A1:F1"/>
    <mergeCell ref="A4:C4"/>
    <mergeCell ref="E7:F7"/>
    <mergeCell ref="G7:H7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B21:C21"/>
    <mergeCell ref="D21:E21"/>
    <mergeCell ref="F21:G21"/>
    <mergeCell ref="H21:I21"/>
    <mergeCell ref="B20:C20"/>
    <mergeCell ref="D20:E20"/>
    <mergeCell ref="F20:G20"/>
    <mergeCell ref="H20:I20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B23:C23"/>
    <mergeCell ref="D23:E23"/>
    <mergeCell ref="F23:G23"/>
    <mergeCell ref="H23:I23"/>
    <mergeCell ref="J22:K22"/>
    <mergeCell ref="E34:F34"/>
    <mergeCell ref="B22:C22"/>
    <mergeCell ref="H22:I22"/>
    <mergeCell ref="L18:M18"/>
    <mergeCell ref="L23:M23"/>
    <mergeCell ref="L19:M19"/>
    <mergeCell ref="L20:M20"/>
    <mergeCell ref="L21:M21"/>
    <mergeCell ref="L22:M22"/>
  </mergeCells>
  <conditionalFormatting sqref="E7 E9 E11 E13 E15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9" sqref="E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92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Budapest Város Szenior Bajnokság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05" t="str">
        <f>Altalanos!$B$8</f>
        <v>Női 50+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2020.07.10-12.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308" t="s">
        <v>136</v>
      </c>
      <c r="C7" s="90"/>
      <c r="D7" s="91"/>
      <c r="E7" s="162" t="s">
        <v>168</v>
      </c>
      <c r="F7" s="280"/>
      <c r="G7" s="281"/>
      <c r="H7" s="91">
        <v>50</v>
      </c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75" customHeight="1">
      <c r="A8" s="147">
        <v>2</v>
      </c>
      <c r="B8" s="90" t="s">
        <v>114</v>
      </c>
      <c r="C8" s="90" t="s">
        <v>115</v>
      </c>
      <c r="D8" s="91"/>
      <c r="E8" s="162" t="s">
        <v>116</v>
      </c>
      <c r="F8" s="280"/>
      <c r="G8" s="281"/>
      <c r="H8" s="91">
        <v>55</v>
      </c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143</v>
      </c>
      <c r="C9" s="90" t="s">
        <v>144</v>
      </c>
      <c r="D9" s="91"/>
      <c r="E9" s="162" t="s">
        <v>169</v>
      </c>
      <c r="F9" s="280"/>
      <c r="G9" s="281"/>
      <c r="H9" s="91">
        <v>55</v>
      </c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75" customHeight="1">
      <c r="A10" s="147">
        <v>4</v>
      </c>
      <c r="B10" s="90"/>
      <c r="C10" s="90"/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7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7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7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7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48" dxfId="5" stopIfTrue="1">
      <formula>AND(ROUNDDOWN(($A$4-E7)/365.25,0)&lt;=13,G7&lt;&gt;"OK")</formula>
    </cfRule>
    <cfRule type="expression" priority="49" dxfId="4" stopIfTrue="1">
      <formula>AND(ROUNDDOWN(($A$4-E7)/365.25,0)&lt;=14,G7&lt;&gt;"OK")</formula>
    </cfRule>
    <cfRule type="expression" priority="50" dxfId="3" stopIfTrue="1">
      <formula>AND(ROUNDDOWN(($A$4-E7)/365.25,0)&lt;=17,G7&lt;&gt;"OK")</formula>
    </cfRule>
  </conditionalFormatting>
  <conditionalFormatting sqref="J7:J156">
    <cfRule type="cellIs" priority="47" dxfId="27" operator="equal" stopIfTrue="1">
      <formula>"Z"</formula>
    </cfRule>
  </conditionalFormatting>
  <conditionalFormatting sqref="A7:D156">
    <cfRule type="expression" priority="46" dxfId="2" stopIfTrue="1">
      <formula>$Q7&gt;=1</formula>
    </cfRule>
  </conditionalFormatting>
  <conditionalFormatting sqref="E7:E14">
    <cfRule type="expression" priority="43" dxfId="5" stopIfTrue="1">
      <formula>AND(ROUNDDOWN(($A$4-E7)/365.25,0)&lt;=13,G7&lt;&gt;"OK")</formula>
    </cfRule>
    <cfRule type="expression" priority="44" dxfId="4" stopIfTrue="1">
      <formula>AND(ROUNDDOWN(($A$4-E7)/365.25,0)&lt;=14,G7&lt;&gt;"OK")</formula>
    </cfRule>
    <cfRule type="expression" priority="45" dxfId="3" stopIfTrue="1">
      <formula>AND(ROUNDDOWN(($A$4-E7)/365.25,0)&lt;=17,G7&lt;&gt;"OK")</formula>
    </cfRule>
  </conditionalFormatting>
  <conditionalFormatting sqref="J7:J14">
    <cfRule type="cellIs" priority="42" dxfId="27" operator="equal" stopIfTrue="1">
      <formula>"Z"</formula>
    </cfRule>
  </conditionalFormatting>
  <conditionalFormatting sqref="B7:D14">
    <cfRule type="expression" priority="41" dxfId="2" stopIfTrue="1">
      <formula>$Q7&gt;=1</formula>
    </cfRule>
  </conditionalFormatting>
  <conditionalFormatting sqref="E7:E14">
    <cfRule type="expression" priority="38" dxfId="5" stopIfTrue="1">
      <formula>AND(ROUNDDOWN(($A$4-E7)/365.25,0)&lt;=13,G7&lt;&gt;"OK")</formula>
    </cfRule>
    <cfRule type="expression" priority="39" dxfId="4" stopIfTrue="1">
      <formula>AND(ROUNDDOWN(($A$4-E7)/365.25,0)&lt;=14,G7&lt;&gt;"OK")</formula>
    </cfRule>
    <cfRule type="expression" priority="40" dxfId="3" stopIfTrue="1">
      <formula>AND(ROUNDDOWN(($A$4-E7)/365.25,0)&lt;=17,G7&lt;&gt;"OK")</formula>
    </cfRule>
  </conditionalFormatting>
  <conditionalFormatting sqref="B7:D14">
    <cfRule type="expression" priority="37" dxfId="2" stopIfTrue="1">
      <formula>$Q7&gt;=1</formula>
    </cfRule>
  </conditionalFormatting>
  <conditionalFormatting sqref="E7:E27 E29:E37">
    <cfRule type="expression" priority="34" dxfId="5" stopIfTrue="1">
      <formula>AND(ROUNDDOWN(($A$4-E7)/365.25,0)&lt;=13,G7&lt;&gt;"OK")</formula>
    </cfRule>
    <cfRule type="expression" priority="35" dxfId="4" stopIfTrue="1">
      <formula>AND(ROUNDDOWN(($A$4-E7)/365.25,0)&lt;=14,G7&lt;&gt;"OK")</formula>
    </cfRule>
    <cfRule type="expression" priority="36" dxfId="3" stopIfTrue="1">
      <formula>AND(ROUNDDOWN(($A$4-E7)/365.25,0)&lt;=17,G7&lt;&gt;"OK")</formula>
    </cfRule>
  </conditionalFormatting>
  <conditionalFormatting sqref="B7:D37">
    <cfRule type="expression" priority="33" dxfId="2" stopIfTrue="1">
      <formula>$Q7&gt;=1</formula>
    </cfRule>
  </conditionalFormatting>
  <conditionalFormatting sqref="E7:E9">
    <cfRule type="expression" priority="30" dxfId="5" stopIfTrue="1">
      <formula>AND(ROUNDDOWN(($A$4-E7)/365.25,0)&lt;=13,G7&lt;&gt;"OK")</formula>
    </cfRule>
    <cfRule type="expression" priority="31" dxfId="4" stopIfTrue="1">
      <formula>AND(ROUNDDOWN(($A$4-E7)/365.25,0)&lt;=14,G7&lt;&gt;"OK")</formula>
    </cfRule>
    <cfRule type="expression" priority="32" dxfId="3" stopIfTrue="1">
      <formula>AND(ROUNDDOWN(($A$4-E7)/365.25,0)&lt;=17,G7&lt;&gt;"OK")</formula>
    </cfRule>
  </conditionalFormatting>
  <conditionalFormatting sqref="B7:D9">
    <cfRule type="expression" priority="29" dxfId="2" stopIfTrue="1">
      <formula>$Q7&gt;=1</formula>
    </cfRule>
  </conditionalFormatting>
  <conditionalFormatting sqref="E7:E9">
    <cfRule type="expression" priority="26" dxfId="5" stopIfTrue="1">
      <formula>AND(ROUNDDOWN(($A$4-E7)/365.25,0)&lt;=13,G7&lt;&gt;"OK")</formula>
    </cfRule>
    <cfRule type="expression" priority="27" dxfId="4" stopIfTrue="1">
      <formula>AND(ROUNDDOWN(($A$4-E7)/365.25,0)&lt;=14,G7&lt;&gt;"OK")</formula>
    </cfRule>
    <cfRule type="expression" priority="28" dxfId="3" stopIfTrue="1">
      <formula>AND(ROUNDDOWN(($A$4-E7)/365.25,0)&lt;=17,G7&lt;&gt;"OK")</formula>
    </cfRule>
  </conditionalFormatting>
  <conditionalFormatting sqref="B7:D9">
    <cfRule type="expression" priority="25" dxfId="2" stopIfTrue="1">
      <formula>$Q7&gt;=1</formula>
    </cfRule>
  </conditionalFormatting>
  <conditionalFormatting sqref="E7:E9">
    <cfRule type="expression" priority="22" dxfId="5" stopIfTrue="1">
      <formula>AND(ROUNDDOWN(($A$4-E7)/365.25,0)&lt;=13,G7&lt;&gt;"OK")</formula>
    </cfRule>
    <cfRule type="expression" priority="23" dxfId="4" stopIfTrue="1">
      <formula>AND(ROUNDDOWN(($A$4-E7)/365.25,0)&lt;=14,G7&lt;&gt;"OK")</formula>
    </cfRule>
    <cfRule type="expression" priority="24" dxfId="3" stopIfTrue="1">
      <formula>AND(ROUNDDOWN(($A$4-E7)/365.25,0)&lt;=17,G7&lt;&gt;"OK")</formula>
    </cfRule>
  </conditionalFormatting>
  <conditionalFormatting sqref="B7:D9">
    <cfRule type="expression" priority="21" dxfId="2" stopIfTrue="1">
      <formula>$Q7&gt;=1</formula>
    </cfRule>
  </conditionalFormatting>
  <conditionalFormatting sqref="E7:E9">
    <cfRule type="expression" priority="18" dxfId="5" stopIfTrue="1">
      <formula>AND(ROUNDDOWN(($A$4-E7)/365.25,0)&lt;=13,G7&lt;&gt;"OK")</formula>
    </cfRule>
    <cfRule type="expression" priority="19" dxfId="4" stopIfTrue="1">
      <formula>AND(ROUNDDOWN(($A$4-E7)/365.25,0)&lt;=14,G7&lt;&gt;"OK")</formula>
    </cfRule>
    <cfRule type="expression" priority="20" dxfId="3" stopIfTrue="1">
      <formula>AND(ROUNDDOWN(($A$4-E7)/365.25,0)&lt;=17,G7&lt;&gt;"OK")</formula>
    </cfRule>
  </conditionalFormatting>
  <conditionalFormatting sqref="B7:D9">
    <cfRule type="expression" priority="17" dxfId="2" stopIfTrue="1">
      <formula>$Q7&gt;=1</formula>
    </cfRule>
  </conditionalFormatting>
  <conditionalFormatting sqref="E7:E9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B7:D9">
    <cfRule type="expression" priority="13" dxfId="2" stopIfTrue="1">
      <formula>$Q7&gt;=1</formula>
    </cfRule>
  </conditionalFormatting>
  <conditionalFormatting sqref="E7:E9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9">
    <cfRule type="expression" priority="9" dxfId="2" stopIfTrue="1">
      <formula>$Q7&gt;=1</formula>
    </cfRule>
  </conditionalFormatting>
  <conditionalFormatting sqref="E7:E9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9">
    <cfRule type="expression" priority="5" dxfId="2" stopIfTrue="1">
      <formula>$Q7&gt;=1</formula>
    </cfRule>
  </conditionalFormatting>
  <conditionalFormatting sqref="E7:E9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9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3" hidden="1" customWidth="1"/>
    <col min="26" max="37" width="0" style="263" hidden="1" customWidth="1"/>
  </cols>
  <sheetData>
    <row r="1" spans="1:37" ht="26.25">
      <c r="A1" s="320" t="str">
        <f>Altalanos!$A$6</f>
        <v>Budapest Város Szenior Bajnokság</v>
      </c>
      <c r="B1" s="320"/>
      <c r="C1" s="320"/>
      <c r="D1" s="320"/>
      <c r="E1" s="320"/>
      <c r="F1" s="320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Y1"/>
      <c r="Z1"/>
      <c r="AA1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06" t="str">
        <f>Altalanos!$B$8</f>
        <v>Női 50+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3"/>
      <c r="O3" s="212"/>
      <c r="P3" s="213"/>
      <c r="Q3" s="255" t="s">
        <v>66</v>
      </c>
      <c r="R3" s="256" t="s">
        <v>72</v>
      </c>
      <c r="S3" s="209"/>
      <c r="Y3" s="264">
        <f>IF(H4="OB","A",IF(H4="IX","W",H4))</f>
        <v>0</v>
      </c>
      <c r="Z3" s="264"/>
      <c r="AA3" s="264" t="s">
        <v>82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321" t="str">
        <f>Altalanos!$A$10</f>
        <v>2020.07.10-12.</v>
      </c>
      <c r="B4" s="321"/>
      <c r="C4" s="321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5"/>
      <c r="O4" s="216"/>
      <c r="P4" s="215"/>
      <c r="Q4" s="257" t="s">
        <v>73</v>
      </c>
      <c r="R4" s="258" t="s">
        <v>68</v>
      </c>
      <c r="S4" s="209"/>
      <c r="Y4" s="264"/>
      <c r="Z4" s="264"/>
      <c r="AA4" s="264" t="s">
        <v>83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 ht="12.75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09"/>
      <c r="Q5" s="259" t="s">
        <v>74</v>
      </c>
      <c r="R5" s="260" t="s">
        <v>70</v>
      </c>
      <c r="S5" s="209"/>
      <c r="Y5" s="264">
        <f>IF(OR(Altalanos!$A$8="F1",Altalanos!$A$8="F2",Altalanos!$A$8="N1",Altalanos!$A$8="N2"),1,2)</f>
        <v>2</v>
      </c>
      <c r="Z5" s="264"/>
      <c r="AA5" s="264" t="s">
        <v>84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 ht="12.75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9"/>
      <c r="O6" s="209"/>
      <c r="P6" s="209"/>
      <c r="Q6" s="209"/>
      <c r="R6" s="209"/>
      <c r="S6" s="209"/>
      <c r="Y6" s="264"/>
      <c r="Z6" s="264"/>
      <c r="AA6" s="264" t="s">
        <v>85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 ht="12.75">
      <c r="A7" s="217" t="s">
        <v>57</v>
      </c>
      <c r="B7" s="248">
        <v>1</v>
      </c>
      <c r="C7" s="203" t="str">
        <f>IF($B7="","",VLOOKUP($B7,'N50+'!$A$7:$O$22,5))</f>
        <v>521224</v>
      </c>
      <c r="D7" s="203">
        <f>IF($B7="","",VLOOKUP($B7,'N50+'!$A$7:$O$22,15))</f>
        <v>0</v>
      </c>
      <c r="E7" s="201" t="str">
        <f>UPPER(IF($B7="","",VLOOKUP($B7,'N50+'!$A$7:$O$22,2)))</f>
        <v>WU XIAOPING</v>
      </c>
      <c r="F7" s="204"/>
      <c r="G7" s="201">
        <f>IF($B7="","",VLOOKUP($B7,'N50+'!$A$7:$O$22,3))</f>
        <v>0</v>
      </c>
      <c r="H7" s="204"/>
      <c r="I7" s="201">
        <f>IF($B7="","",VLOOKUP($B7,'N50+'!$A$7:$O$22,4))</f>
        <v>0</v>
      </c>
      <c r="J7" s="193"/>
      <c r="K7" s="330" t="s">
        <v>172</v>
      </c>
      <c r="L7" s="327">
        <v>200</v>
      </c>
      <c r="M7" s="272"/>
      <c r="N7" s="209"/>
      <c r="O7" s="209"/>
      <c r="P7" s="209"/>
      <c r="Q7" s="209"/>
      <c r="R7" s="209"/>
      <c r="S7" s="209"/>
      <c r="Y7" s="264"/>
      <c r="Z7" s="264"/>
      <c r="AA7" s="264" t="s">
        <v>86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 ht="12.75">
      <c r="A8" s="217"/>
      <c r="B8" s="249"/>
      <c r="C8" s="218"/>
      <c r="D8" s="218"/>
      <c r="E8" s="218"/>
      <c r="F8" s="218"/>
      <c r="G8" s="218"/>
      <c r="H8" s="218"/>
      <c r="I8" s="218"/>
      <c r="J8" s="193"/>
      <c r="K8" s="217"/>
      <c r="L8" s="328"/>
      <c r="M8" s="273"/>
      <c r="N8" s="209"/>
      <c r="O8" s="209"/>
      <c r="P8" s="209"/>
      <c r="Q8" s="209"/>
      <c r="R8" s="209"/>
      <c r="S8" s="209"/>
      <c r="Y8" s="264"/>
      <c r="Z8" s="264"/>
      <c r="AA8" s="264" t="s">
        <v>87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 ht="12.75">
      <c r="A9" s="217" t="s">
        <v>58</v>
      </c>
      <c r="B9" s="248">
        <v>2</v>
      </c>
      <c r="C9" s="203" t="str">
        <f>IF($B9="","",VLOOKUP($B9,'N50+'!$A$7:$O$22,5))</f>
        <v>630309</v>
      </c>
      <c r="D9" s="203">
        <f>IF($B9="","",VLOOKUP($B9,'N50+'!$A$7:$O$22,15))</f>
        <v>0</v>
      </c>
      <c r="E9" s="201" t="str">
        <f>UPPER(IF($B9="","",VLOOKUP($B9,'N50+'!$A$7:$O$22,2)))</f>
        <v>SIMON </v>
      </c>
      <c r="F9" s="204"/>
      <c r="G9" s="201" t="str">
        <f>IF($B9="","",VLOOKUP($B9,'N50+'!$A$7:$O$22,3))</f>
        <v>Mária</v>
      </c>
      <c r="H9" s="204"/>
      <c r="I9" s="201">
        <f>IF($B9="","",VLOOKUP($B9,'N50+'!$A$7:$O$22,4))</f>
        <v>0</v>
      </c>
      <c r="J9" s="193"/>
      <c r="K9" s="330" t="s">
        <v>173</v>
      </c>
      <c r="L9" s="327">
        <v>140</v>
      </c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 ht="12.75">
      <c r="A10" s="217"/>
      <c r="B10" s="249"/>
      <c r="C10" s="218"/>
      <c r="D10" s="218"/>
      <c r="E10" s="218"/>
      <c r="F10" s="218"/>
      <c r="G10" s="218"/>
      <c r="H10" s="218"/>
      <c r="I10" s="218"/>
      <c r="J10" s="193"/>
      <c r="K10" s="217"/>
      <c r="L10" s="328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 ht="12.75">
      <c r="A11" s="217" t="s">
        <v>59</v>
      </c>
      <c r="B11" s="248">
        <v>3</v>
      </c>
      <c r="C11" s="203" t="str">
        <f>IF($B11="","",VLOOKUP($B11,'N50+'!$A$7:$O$22,5))</f>
        <v>641023</v>
      </c>
      <c r="D11" s="203">
        <f>IF($B11="","",VLOOKUP($B11,'N50+'!$A$7:$O$22,15))</f>
        <v>0</v>
      </c>
      <c r="E11" s="201" t="str">
        <f>UPPER(IF($B11="","",VLOOKUP($B11,'N50+'!$A$7:$O$22,2)))</f>
        <v>BARCS</v>
      </c>
      <c r="F11" s="204"/>
      <c r="G11" s="201" t="str">
        <f>IF($B11="","",VLOOKUP($B11,'N50+'!$A$7:$O$22,3))</f>
        <v>Nóra</v>
      </c>
      <c r="H11" s="204"/>
      <c r="I11" s="201">
        <f>IF($B11="","",VLOOKUP($B11,'N50+'!$A$7:$O$22,4))</f>
        <v>0</v>
      </c>
      <c r="J11" s="193"/>
      <c r="K11" s="330" t="s">
        <v>174</v>
      </c>
      <c r="L11" s="327">
        <v>90</v>
      </c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64"/>
      <c r="Z12" s="264"/>
      <c r="AA12" s="264" t="s">
        <v>90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64"/>
      <c r="Z13" s="264"/>
      <c r="AA13" s="264" t="s">
        <v>91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ht="12.75">
      <c r="A16" s="193"/>
      <c r="B16" s="193"/>
      <c r="C16" s="193"/>
      <c r="D16" s="310"/>
      <c r="E16" s="310"/>
      <c r="F16" s="310"/>
      <c r="G16" s="310"/>
      <c r="H16" s="310"/>
      <c r="I16" s="310"/>
      <c r="J16" s="310"/>
      <c r="K16" s="310"/>
      <c r="L16" s="193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ht="12.75">
      <c r="A17" s="193"/>
      <c r="B17" s="193"/>
      <c r="C17" s="193"/>
      <c r="D17" s="310"/>
      <c r="E17" s="310"/>
      <c r="F17" s="310"/>
      <c r="G17" s="310"/>
      <c r="H17" s="310"/>
      <c r="I17" s="310"/>
      <c r="J17" s="310"/>
      <c r="K17" s="310"/>
      <c r="L17" s="193"/>
      <c r="M17" s="193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23"/>
      <c r="C18" s="323"/>
      <c r="D18" s="312" t="str">
        <f>E7</f>
        <v>WU XIAOPING</v>
      </c>
      <c r="E18" s="312"/>
      <c r="F18" s="312" t="str">
        <f>E9</f>
        <v>SIMON </v>
      </c>
      <c r="G18" s="312"/>
      <c r="H18" s="312" t="str">
        <f>E11</f>
        <v>BARCS</v>
      </c>
      <c r="I18" s="312"/>
      <c r="J18" s="310"/>
      <c r="K18" s="310"/>
      <c r="L18" s="193"/>
      <c r="M18" s="193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22" t="str">
        <f>E7</f>
        <v>WU XIAOPING</v>
      </c>
      <c r="C19" s="322"/>
      <c r="D19" s="313"/>
      <c r="E19" s="313"/>
      <c r="F19" s="314" t="s">
        <v>152</v>
      </c>
      <c r="G19" s="314"/>
      <c r="H19" s="314" t="s">
        <v>155</v>
      </c>
      <c r="I19" s="314"/>
      <c r="J19" s="310"/>
      <c r="K19" s="310"/>
      <c r="L19" s="193"/>
      <c r="M19" s="193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22" t="str">
        <f>E9</f>
        <v>SIMON </v>
      </c>
      <c r="C20" s="322"/>
      <c r="D20" s="314" t="s">
        <v>153</v>
      </c>
      <c r="E20" s="314"/>
      <c r="F20" s="313"/>
      <c r="G20" s="313"/>
      <c r="H20" s="314" t="s">
        <v>152</v>
      </c>
      <c r="I20" s="314"/>
      <c r="J20" s="310"/>
      <c r="K20" s="310"/>
      <c r="L20" s="193"/>
      <c r="M20" s="193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22" t="str">
        <f>E11</f>
        <v>BARCS</v>
      </c>
      <c r="C21" s="322"/>
      <c r="D21" s="314" t="s">
        <v>156</v>
      </c>
      <c r="E21" s="314"/>
      <c r="F21" s="314" t="s">
        <v>153</v>
      </c>
      <c r="G21" s="314"/>
      <c r="H21" s="313"/>
      <c r="I21" s="313"/>
      <c r="J21" s="310"/>
      <c r="K21" s="310"/>
      <c r="L21" s="193"/>
      <c r="M21" s="193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2.75">
      <c r="A22" s="193"/>
      <c r="B22" s="193"/>
      <c r="C22" s="193"/>
      <c r="D22" s="310"/>
      <c r="E22" s="310"/>
      <c r="F22" s="310"/>
      <c r="G22" s="310"/>
      <c r="H22" s="310"/>
      <c r="I22" s="310"/>
      <c r="J22" s="310"/>
      <c r="K22" s="310"/>
      <c r="L22" s="193"/>
      <c r="M22" s="193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2.75">
      <c r="A23" s="193"/>
      <c r="B23" s="193"/>
      <c r="C23" s="193"/>
      <c r="D23" s="310"/>
      <c r="E23" s="310"/>
      <c r="F23" s="310"/>
      <c r="G23" s="310"/>
      <c r="H23" s="310"/>
      <c r="I23" s="310"/>
      <c r="J23" s="310"/>
      <c r="K23" s="310"/>
      <c r="L23" s="193"/>
      <c r="M23" s="19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09"/>
      <c r="P32" s="209"/>
      <c r="Q32" s="209"/>
      <c r="R32" s="209"/>
      <c r="S32" s="209"/>
    </row>
    <row r="33" spans="1:19" ht="12.75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300"/>
      <c r="N33" s="299"/>
      <c r="O33" s="209"/>
      <c r="P33" s="219"/>
      <c r="Q33" s="219"/>
      <c r="R33" s="220"/>
      <c r="S33" s="209"/>
    </row>
    <row r="34" spans="1:19" ht="12.75">
      <c r="A34" s="196" t="s">
        <v>39</v>
      </c>
      <c r="B34" s="197"/>
      <c r="C34" s="198"/>
      <c r="D34" s="227"/>
      <c r="E34" s="316"/>
      <c r="F34" s="316"/>
      <c r="G34" s="238" t="s">
        <v>3</v>
      </c>
      <c r="H34" s="197"/>
      <c r="I34" s="228"/>
      <c r="J34" s="239"/>
      <c r="K34" s="194" t="s">
        <v>41</v>
      </c>
      <c r="L34" s="245"/>
      <c r="M34" s="233"/>
      <c r="O34" s="209"/>
      <c r="P34" s="221"/>
      <c r="Q34" s="221"/>
      <c r="R34" s="222"/>
      <c r="S34" s="209"/>
    </row>
    <row r="35" spans="1:19" ht="12.75">
      <c r="A35" s="199" t="s">
        <v>48</v>
      </c>
      <c r="B35" s="117"/>
      <c r="C35" s="200"/>
      <c r="D35" s="230"/>
      <c r="E35" s="317"/>
      <c r="F35" s="317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 ht="12.75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 ht="12.75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 ht="12.75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 ht="12.75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 ht="12.75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 ht="12.75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L4</f>
        <v>Kádár László</v>
      </c>
      <c r="L41" s="192"/>
      <c r="M41" s="237"/>
      <c r="O41" s="209"/>
      <c r="P41" s="222"/>
      <c r="Q41" s="223"/>
      <c r="R41" s="224"/>
      <c r="S41" s="209"/>
    </row>
    <row r="42" spans="15:19" ht="12.75">
      <c r="O42" s="209"/>
      <c r="P42" s="209"/>
      <c r="Q42" s="209"/>
      <c r="R42" s="209"/>
      <c r="S42" s="209"/>
    </row>
    <row r="43" spans="15:19" ht="12.75">
      <c r="O43" s="209"/>
      <c r="P43" s="209"/>
      <c r="Q43" s="209"/>
      <c r="R43" s="209"/>
      <c r="S43" s="209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E9" sqref="E9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292" customWidth="1"/>
    <col min="6" max="6" width="6.140625" style="88" hidden="1" customWidth="1"/>
    <col min="7" max="7" width="29.8515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Budapest Város Szenior Bajnokság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05" t="str">
        <f>Altalanos!$C$8</f>
        <v>Női 60+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2020.07.10-12.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111</v>
      </c>
      <c r="C7" s="90" t="s">
        <v>112</v>
      </c>
      <c r="D7" s="91"/>
      <c r="E7" s="162" t="s">
        <v>113</v>
      </c>
      <c r="F7" s="107"/>
      <c r="G7" s="107"/>
      <c r="H7" s="91">
        <v>60</v>
      </c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75" customHeight="1">
      <c r="A8" s="147">
        <v>2</v>
      </c>
      <c r="B8" s="90" t="s">
        <v>124</v>
      </c>
      <c r="C8" s="90" t="s">
        <v>125</v>
      </c>
      <c r="D8" s="91"/>
      <c r="E8" s="162" t="s">
        <v>170</v>
      </c>
      <c r="F8" s="107"/>
      <c r="G8" s="107"/>
      <c r="H8" s="91">
        <v>60</v>
      </c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126</v>
      </c>
      <c r="C9" s="90" t="s">
        <v>127</v>
      </c>
      <c r="D9" s="91"/>
      <c r="E9" s="162" t="s">
        <v>171</v>
      </c>
      <c r="F9" s="107"/>
      <c r="G9" s="107"/>
      <c r="H9" s="91">
        <v>60</v>
      </c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75" customHeight="1">
      <c r="A10" s="147">
        <v>4</v>
      </c>
      <c r="B10" s="309" t="s">
        <v>131</v>
      </c>
      <c r="C10" s="90" t="s">
        <v>132</v>
      </c>
      <c r="D10" s="91"/>
      <c r="E10" s="162" t="s">
        <v>133</v>
      </c>
      <c r="F10" s="107"/>
      <c r="G10" s="107"/>
      <c r="H10" s="91">
        <v>60</v>
      </c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7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7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7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7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32" dxfId="5" stopIfTrue="1">
      <formula>AND(ROUNDDOWN(($A$4-E7)/365.25,0)&lt;=13,G7&lt;&gt;"OK")</formula>
    </cfRule>
    <cfRule type="expression" priority="33" dxfId="4" stopIfTrue="1">
      <formula>AND(ROUNDDOWN(($A$4-E7)/365.25,0)&lt;=14,G7&lt;&gt;"OK")</formula>
    </cfRule>
    <cfRule type="expression" priority="34" dxfId="3" stopIfTrue="1">
      <formula>AND(ROUNDDOWN(($A$4-E7)/365.25,0)&lt;=17,G7&lt;&gt;"OK")</formula>
    </cfRule>
  </conditionalFormatting>
  <conditionalFormatting sqref="J7:J156">
    <cfRule type="cellIs" priority="31" dxfId="27" operator="equal" stopIfTrue="1">
      <formula>"Z"</formula>
    </cfRule>
  </conditionalFormatting>
  <conditionalFormatting sqref="A7:D156">
    <cfRule type="expression" priority="30" dxfId="2" stopIfTrue="1">
      <formula>$Q7&gt;=1</formula>
    </cfRule>
  </conditionalFormatting>
  <conditionalFormatting sqref="E7:E14">
    <cfRule type="expression" priority="27" dxfId="5" stopIfTrue="1">
      <formula>AND(ROUNDDOWN(($A$4-E7)/365.25,0)&lt;=13,G7&lt;&gt;"OK")</formula>
    </cfRule>
    <cfRule type="expression" priority="28" dxfId="4" stopIfTrue="1">
      <formula>AND(ROUNDDOWN(($A$4-E7)/365.25,0)&lt;=14,G7&lt;&gt;"OK")</formula>
    </cfRule>
    <cfRule type="expression" priority="29" dxfId="3" stopIfTrue="1">
      <formula>AND(ROUNDDOWN(($A$4-E7)/365.25,0)&lt;=17,G7&lt;&gt;"OK")</formula>
    </cfRule>
  </conditionalFormatting>
  <conditionalFormatting sqref="J7:J14">
    <cfRule type="cellIs" priority="26" dxfId="27" operator="equal" stopIfTrue="1">
      <formula>"Z"</formula>
    </cfRule>
  </conditionalFormatting>
  <conditionalFormatting sqref="B7:D14">
    <cfRule type="expression" priority="25" dxfId="2" stopIfTrue="1">
      <formula>$Q7&gt;=1</formula>
    </cfRule>
  </conditionalFormatting>
  <conditionalFormatting sqref="E7:E14">
    <cfRule type="expression" priority="22" dxfId="5" stopIfTrue="1">
      <formula>AND(ROUNDDOWN(($A$4-E7)/365.25,0)&lt;=13,G7&lt;&gt;"OK")</formula>
    </cfRule>
    <cfRule type="expression" priority="23" dxfId="4" stopIfTrue="1">
      <formula>AND(ROUNDDOWN(($A$4-E7)/365.25,0)&lt;=14,G7&lt;&gt;"OK")</formula>
    </cfRule>
    <cfRule type="expression" priority="24" dxfId="3" stopIfTrue="1">
      <formula>AND(ROUNDDOWN(($A$4-E7)/365.25,0)&lt;=17,G7&lt;&gt;"OK")</formula>
    </cfRule>
  </conditionalFormatting>
  <conditionalFormatting sqref="B7:D14">
    <cfRule type="expression" priority="21" dxfId="2" stopIfTrue="1">
      <formula>$Q7&gt;=1</formula>
    </cfRule>
  </conditionalFormatting>
  <conditionalFormatting sqref="E7:E27 E29:E37">
    <cfRule type="expression" priority="18" dxfId="5" stopIfTrue="1">
      <formula>AND(ROUNDDOWN(($A$4-E7)/365.25,0)&lt;=13,G7&lt;&gt;"OK")</formula>
    </cfRule>
    <cfRule type="expression" priority="19" dxfId="4" stopIfTrue="1">
      <formula>AND(ROUNDDOWN(($A$4-E7)/365.25,0)&lt;=14,G7&lt;&gt;"OK")</formula>
    </cfRule>
    <cfRule type="expression" priority="20" dxfId="3" stopIfTrue="1">
      <formula>AND(ROUNDDOWN(($A$4-E7)/365.25,0)&lt;=17,G7&lt;&gt;"OK")</formula>
    </cfRule>
  </conditionalFormatting>
  <conditionalFormatting sqref="B7:D37">
    <cfRule type="expression" priority="17" dxfId="2" stopIfTrue="1">
      <formula>$Q7&gt;=1</formula>
    </cfRule>
  </conditionalFormatting>
  <conditionalFormatting sqref="E7:E10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B7:D10">
    <cfRule type="expression" priority="13" dxfId="2" stopIfTrue="1">
      <formula>$Q7&gt;=1</formula>
    </cfRule>
  </conditionalFormatting>
  <conditionalFormatting sqref="E7:E10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10">
    <cfRule type="expression" priority="9" dxfId="2" stopIfTrue="1">
      <formula>$Q7&gt;=1</formula>
    </cfRule>
  </conditionalFormatting>
  <conditionalFormatting sqref="E7:E10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B9 C7:D10">
    <cfRule type="expression" priority="5" dxfId="2" stopIfTrue="1">
      <formula>$Q7&gt;=1</formula>
    </cfRule>
  </conditionalFormatting>
  <conditionalFormatting sqref="E7:E10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B9 C7:D10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4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20" t="str">
        <f>Altalanos!$A$6</f>
        <v>Budapest Város Szenior Bajnokság</v>
      </c>
      <c r="B1" s="320"/>
      <c r="C1" s="320"/>
      <c r="D1" s="320"/>
      <c r="E1" s="320"/>
      <c r="F1" s="320"/>
      <c r="G1" s="177"/>
      <c r="H1" s="180" t="s">
        <v>47</v>
      </c>
      <c r="I1" s="178"/>
      <c r="J1" s="179"/>
      <c r="L1" s="181"/>
      <c r="M1" s="205"/>
      <c r="N1" s="207"/>
      <c r="O1" s="207" t="s">
        <v>11</v>
      </c>
      <c r="P1" s="207"/>
      <c r="Q1" s="208"/>
      <c r="R1" s="207"/>
      <c r="S1" s="209"/>
      <c r="AB1" s="270" t="e">
        <f>IF(Y5=1,CONCATENATE(VLOOKUP(Y3,AA16:AH27,2)),CONCATENATE(VLOOKUP(Y3,AA2:AK13,2)))</f>
        <v>#N/A</v>
      </c>
      <c r="AC1" s="270" t="e">
        <f>IF(Y5=1,CONCATENATE(VLOOKUP(Y3,AA16:AK27,3)),CONCATENATE(VLOOKUP(Y3,AA2:AK13,3)))</f>
        <v>#N/A</v>
      </c>
      <c r="AD1" s="270" t="e">
        <f>IF(Y5=1,CONCATENATE(VLOOKUP(Y3,AA16:AK27,4)),CONCATENATE(VLOOKUP(Y3,AA2:AK13,4)))</f>
        <v>#N/A</v>
      </c>
      <c r="AE1" s="270" t="e">
        <f>IF(Y5=1,CONCATENATE(VLOOKUP(Y3,AA16:AK27,5)),CONCATENATE(VLOOKUP(Y3,AA2:AK13,5)))</f>
        <v>#N/A</v>
      </c>
      <c r="AF1" s="270" t="e">
        <f>IF(Y5=1,CONCATENATE(VLOOKUP(Y3,AA16:AK27,6)),CONCATENATE(VLOOKUP(Y3,AA2:AK13,6)))</f>
        <v>#N/A</v>
      </c>
      <c r="AG1" s="270" t="e">
        <f>IF(Y5=1,CONCATENATE(VLOOKUP(Y3,AA16:AK27,7)),CONCATENATE(VLOOKUP(Y3,AA2:AK13,7)))</f>
        <v>#N/A</v>
      </c>
      <c r="AH1" s="270" t="e">
        <f>IF(Y5=1,CONCATENATE(VLOOKUP(Y3,AA16:AK27,8)),CONCATENATE(VLOOKUP(Y3,AA2:AK13,8)))</f>
        <v>#N/A</v>
      </c>
      <c r="AI1" s="270" t="e">
        <f>IF(Y5=1,CONCATENATE(VLOOKUP(Y3,AA16:AK27,9)),CONCATENATE(VLOOKUP(Y3,AA2:AK13,9)))</f>
        <v>#N/A</v>
      </c>
      <c r="AJ1" s="270" t="e">
        <f>IF(Y5=1,CONCATENATE(VLOOKUP(Y3,AA16:AK27,10)),CONCATENATE(VLOOKUP(Y3,AA2:AK13,10)))</f>
        <v>#N/A</v>
      </c>
      <c r="AK1" s="270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06" t="str">
        <f>Altalanos!$C$8</f>
        <v>Női 60+</v>
      </c>
      <c r="F2" s="183"/>
      <c r="G2" s="184"/>
      <c r="H2" s="185"/>
      <c r="I2" s="185"/>
      <c r="J2" s="186"/>
      <c r="K2" s="181"/>
      <c r="L2" s="181"/>
      <c r="M2" s="206"/>
      <c r="N2" s="210"/>
      <c r="O2" s="211"/>
      <c r="P2" s="210"/>
      <c r="Q2" s="211"/>
      <c r="R2" s="210"/>
      <c r="S2" s="209"/>
      <c r="Y2" s="265"/>
      <c r="Z2" s="264"/>
      <c r="AA2" s="264" t="s">
        <v>57</v>
      </c>
      <c r="AB2" s="268">
        <v>150</v>
      </c>
      <c r="AC2" s="268">
        <v>120</v>
      </c>
      <c r="AD2" s="268">
        <v>100</v>
      </c>
      <c r="AE2" s="268">
        <v>80</v>
      </c>
      <c r="AF2" s="268">
        <v>70</v>
      </c>
      <c r="AG2" s="268">
        <v>60</v>
      </c>
      <c r="AH2" s="268">
        <v>55</v>
      </c>
      <c r="AI2" s="268">
        <v>50</v>
      </c>
      <c r="AJ2" s="268">
        <v>45</v>
      </c>
      <c r="AK2" s="268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3"/>
      <c r="O3" s="212"/>
      <c r="P3" s="213"/>
      <c r="Q3" s="255" t="s">
        <v>66</v>
      </c>
      <c r="R3" s="256" t="s">
        <v>72</v>
      </c>
      <c r="S3" s="256" t="s">
        <v>67</v>
      </c>
      <c r="Y3" s="264">
        <f>IF(H4="OB","A",IF(H4="IX","W",H4))</f>
        <v>0</v>
      </c>
      <c r="Z3" s="264"/>
      <c r="AA3" s="264" t="s">
        <v>82</v>
      </c>
      <c r="AB3" s="268">
        <v>120</v>
      </c>
      <c r="AC3" s="268">
        <v>90</v>
      </c>
      <c r="AD3" s="268">
        <v>65</v>
      </c>
      <c r="AE3" s="268">
        <v>55</v>
      </c>
      <c r="AF3" s="268">
        <v>50</v>
      </c>
      <c r="AG3" s="268">
        <v>45</v>
      </c>
      <c r="AH3" s="268">
        <v>40</v>
      </c>
      <c r="AI3" s="268">
        <v>35</v>
      </c>
      <c r="AJ3" s="268">
        <v>25</v>
      </c>
      <c r="AK3" s="268">
        <v>20</v>
      </c>
    </row>
    <row r="4" spans="1:37" ht="13.5" thickBot="1">
      <c r="A4" s="321" t="str">
        <f>Altalanos!$A$10</f>
        <v>2020.07.10-12.</v>
      </c>
      <c r="B4" s="321"/>
      <c r="C4" s="321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66"/>
      <c r="M4" s="191" t="str">
        <f>Altalanos!$E$10</f>
        <v>Kádár László</v>
      </c>
      <c r="N4" s="215"/>
      <c r="O4" s="216"/>
      <c r="P4" s="215"/>
      <c r="Q4" s="257" t="s">
        <v>73</v>
      </c>
      <c r="R4" s="258" t="s">
        <v>68</v>
      </c>
      <c r="S4" s="258" t="s">
        <v>69</v>
      </c>
      <c r="Y4" s="264"/>
      <c r="Z4" s="264"/>
      <c r="AA4" s="264" t="s">
        <v>83</v>
      </c>
      <c r="AB4" s="268">
        <v>90</v>
      </c>
      <c r="AC4" s="268">
        <v>60</v>
      </c>
      <c r="AD4" s="268">
        <v>45</v>
      </c>
      <c r="AE4" s="268">
        <v>34</v>
      </c>
      <c r="AF4" s="268">
        <v>27</v>
      </c>
      <c r="AG4" s="268">
        <v>22</v>
      </c>
      <c r="AH4" s="268">
        <v>18</v>
      </c>
      <c r="AI4" s="268">
        <v>15</v>
      </c>
      <c r="AJ4" s="268">
        <v>12</v>
      </c>
      <c r="AK4" s="268">
        <v>9</v>
      </c>
    </row>
    <row r="5" spans="1:37" ht="12.75">
      <c r="A5" s="31"/>
      <c r="B5" s="31" t="s">
        <v>44</v>
      </c>
      <c r="C5" s="202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7" t="s">
        <v>61</v>
      </c>
      <c r="L5" s="247" t="s">
        <v>62</v>
      </c>
      <c r="M5" s="247" t="s">
        <v>63</v>
      </c>
      <c r="N5" s="209"/>
      <c r="O5" s="209"/>
      <c r="P5" s="209"/>
      <c r="Q5" s="259" t="s">
        <v>74</v>
      </c>
      <c r="R5" s="260" t="s">
        <v>70</v>
      </c>
      <c r="S5" s="260" t="s">
        <v>71</v>
      </c>
      <c r="Y5" s="264">
        <f>IF(OR(Altalanos!$A$8="F1",Altalanos!$A$8="F2",Altalanos!$A$8="N1",Altalanos!$A$8="N2"),1,2)</f>
        <v>2</v>
      </c>
      <c r="Z5" s="264"/>
      <c r="AA5" s="264" t="s">
        <v>84</v>
      </c>
      <c r="AB5" s="268">
        <v>60</v>
      </c>
      <c r="AC5" s="268">
        <v>40</v>
      </c>
      <c r="AD5" s="268">
        <v>30</v>
      </c>
      <c r="AE5" s="268">
        <v>20</v>
      </c>
      <c r="AF5" s="268">
        <v>18</v>
      </c>
      <c r="AG5" s="268">
        <v>15</v>
      </c>
      <c r="AH5" s="268">
        <v>12</v>
      </c>
      <c r="AI5" s="268">
        <v>10</v>
      </c>
      <c r="AJ5" s="268">
        <v>8</v>
      </c>
      <c r="AK5" s="268">
        <v>6</v>
      </c>
    </row>
    <row r="6" spans="1:37" ht="12.75">
      <c r="A6" s="193"/>
      <c r="B6" s="193"/>
      <c r="C6" s="246"/>
      <c r="D6" s="193"/>
      <c r="E6" s="193"/>
      <c r="F6" s="193"/>
      <c r="G6" s="193"/>
      <c r="H6" s="193"/>
      <c r="I6" s="193"/>
      <c r="J6" s="193"/>
      <c r="K6" s="193"/>
      <c r="L6" s="329"/>
      <c r="M6" s="193"/>
      <c r="N6" s="209"/>
      <c r="O6" s="209"/>
      <c r="P6" s="209"/>
      <c r="Q6" s="209"/>
      <c r="R6" s="209"/>
      <c r="S6" s="209"/>
      <c r="Y6" s="264"/>
      <c r="Z6" s="264"/>
      <c r="AA6" s="264" t="s">
        <v>85</v>
      </c>
      <c r="AB6" s="268">
        <v>40</v>
      </c>
      <c r="AC6" s="268">
        <v>25</v>
      </c>
      <c r="AD6" s="268">
        <v>18</v>
      </c>
      <c r="AE6" s="268">
        <v>13</v>
      </c>
      <c r="AF6" s="268">
        <v>10</v>
      </c>
      <c r="AG6" s="268">
        <v>8</v>
      </c>
      <c r="AH6" s="268">
        <v>6</v>
      </c>
      <c r="AI6" s="268">
        <v>5</v>
      </c>
      <c r="AJ6" s="268">
        <v>4</v>
      </c>
      <c r="AK6" s="268">
        <v>3</v>
      </c>
    </row>
    <row r="7" spans="1:37" ht="12.75">
      <c r="A7" s="217" t="s">
        <v>57</v>
      </c>
      <c r="B7" s="248">
        <v>1</v>
      </c>
      <c r="C7" s="250" t="str">
        <f>IF($B7="","",VLOOKUP($B7,'60elő'!$A$7:$O$22,5))</f>
        <v>561120</v>
      </c>
      <c r="D7" s="250">
        <f>IF($B7="","",VLOOKUP($B7,'60elő'!$A$7:$O$22,15))</f>
        <v>0</v>
      </c>
      <c r="E7" s="318" t="str">
        <f>UPPER(IF($B7="","",VLOOKUP($B7,'60elő'!$A$7:$O$22,2)))</f>
        <v>NÁDORI</v>
      </c>
      <c r="F7" s="318"/>
      <c r="G7" s="318" t="str">
        <f>IF($B7="","",VLOOKUP($B7,'60elő'!$A$7:$O$22,3))</f>
        <v>Katalin</v>
      </c>
      <c r="H7" s="318"/>
      <c r="I7" s="251">
        <f>IF($B7="","",VLOOKUP($B7,'60elő'!$A$7:$O$22,4))</f>
        <v>0</v>
      </c>
      <c r="J7" s="193"/>
      <c r="K7" s="271"/>
      <c r="L7" s="327">
        <f>IF(K7="","",CONCATENATE(VLOOKUP($Y$3,$AB$1:$AK$1,K7)," pont"))</f>
      </c>
      <c r="M7" s="272"/>
      <c r="N7" s="209"/>
      <c r="O7" s="209"/>
      <c r="P7" s="209"/>
      <c r="Q7" s="209"/>
      <c r="R7" s="209"/>
      <c r="S7" s="209"/>
      <c r="Y7" s="264"/>
      <c r="Z7" s="264"/>
      <c r="AA7" s="264" t="s">
        <v>86</v>
      </c>
      <c r="AB7" s="268">
        <v>25</v>
      </c>
      <c r="AC7" s="268">
        <v>15</v>
      </c>
      <c r="AD7" s="268">
        <v>13</v>
      </c>
      <c r="AE7" s="268">
        <v>8</v>
      </c>
      <c r="AF7" s="268">
        <v>6</v>
      </c>
      <c r="AG7" s="268">
        <v>4</v>
      </c>
      <c r="AH7" s="268">
        <v>3</v>
      </c>
      <c r="AI7" s="268">
        <v>2</v>
      </c>
      <c r="AJ7" s="268">
        <v>1</v>
      </c>
      <c r="AK7" s="268">
        <v>0</v>
      </c>
    </row>
    <row r="8" spans="1:37" ht="12.75">
      <c r="A8" s="217"/>
      <c r="B8" s="249"/>
      <c r="C8" s="252"/>
      <c r="D8" s="252"/>
      <c r="E8" s="252"/>
      <c r="F8" s="252"/>
      <c r="G8" s="252"/>
      <c r="H8" s="252"/>
      <c r="I8" s="252"/>
      <c r="J8" s="193"/>
      <c r="K8" s="217"/>
      <c r="L8" s="328"/>
      <c r="M8" s="273"/>
      <c r="N8" s="209"/>
      <c r="O8" s="209"/>
      <c r="P8" s="209"/>
      <c r="Q8" s="209"/>
      <c r="R8" s="209"/>
      <c r="S8" s="209"/>
      <c r="Y8" s="264"/>
      <c r="Z8" s="264"/>
      <c r="AA8" s="264" t="s">
        <v>87</v>
      </c>
      <c r="AB8" s="268">
        <v>15</v>
      </c>
      <c r="AC8" s="268">
        <v>10</v>
      </c>
      <c r="AD8" s="268">
        <v>7</v>
      </c>
      <c r="AE8" s="268">
        <v>5</v>
      </c>
      <c r="AF8" s="268">
        <v>4</v>
      </c>
      <c r="AG8" s="268">
        <v>3</v>
      </c>
      <c r="AH8" s="268">
        <v>2</v>
      </c>
      <c r="AI8" s="268">
        <v>1</v>
      </c>
      <c r="AJ8" s="268">
        <v>0</v>
      </c>
      <c r="AK8" s="268">
        <v>0</v>
      </c>
    </row>
    <row r="9" spans="1:37" ht="12.75">
      <c r="A9" s="217" t="s">
        <v>58</v>
      </c>
      <c r="B9" s="248">
        <v>2</v>
      </c>
      <c r="C9" s="250" t="str">
        <f>IF($B9="","",VLOOKUP($B9,'60elő'!$A$7:$O$22,5))</f>
        <v>590101</v>
      </c>
      <c r="D9" s="250">
        <f>IF($B9="","",VLOOKUP($B9,'60elő'!$A$7:$O$22,15))</f>
        <v>0</v>
      </c>
      <c r="E9" s="318" t="str">
        <f>UPPER(IF($B9="","",VLOOKUP($B9,'60elő'!$A$7:$O$22,2)))</f>
        <v>BOROS</v>
      </c>
      <c r="F9" s="318"/>
      <c r="G9" s="318" t="str">
        <f>IF($B9="","",VLOOKUP($B9,'60elő'!$A$7:$O$22,3))</f>
        <v>Zsuzsa</v>
      </c>
      <c r="H9" s="318"/>
      <c r="I9" s="251">
        <f>IF($B9="","",VLOOKUP($B9,'60elő'!$A$7:$O$22,4))</f>
        <v>0</v>
      </c>
      <c r="J9" s="193"/>
      <c r="K9" s="330" t="s">
        <v>174</v>
      </c>
      <c r="L9" s="327">
        <v>90</v>
      </c>
      <c r="M9" s="272"/>
      <c r="N9" s="209"/>
      <c r="O9" s="209"/>
      <c r="P9" s="209"/>
      <c r="Q9" s="209"/>
      <c r="R9" s="209"/>
      <c r="S9" s="209"/>
      <c r="Y9" s="264"/>
      <c r="Z9" s="264"/>
      <c r="AA9" s="264" t="s">
        <v>88</v>
      </c>
      <c r="AB9" s="268">
        <v>10</v>
      </c>
      <c r="AC9" s="268">
        <v>6</v>
      </c>
      <c r="AD9" s="268">
        <v>4</v>
      </c>
      <c r="AE9" s="268">
        <v>2</v>
      </c>
      <c r="AF9" s="268">
        <v>1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</row>
    <row r="10" spans="1:37" ht="12.75">
      <c r="A10" s="217"/>
      <c r="B10" s="249"/>
      <c r="C10" s="252"/>
      <c r="D10" s="252"/>
      <c r="E10" s="252"/>
      <c r="F10" s="252"/>
      <c r="G10" s="252"/>
      <c r="H10" s="252"/>
      <c r="I10" s="252"/>
      <c r="J10" s="193"/>
      <c r="K10" s="217"/>
      <c r="L10" s="328"/>
      <c r="M10" s="273"/>
      <c r="N10" s="209"/>
      <c r="O10" s="209"/>
      <c r="P10" s="209"/>
      <c r="Q10" s="209"/>
      <c r="R10" s="209"/>
      <c r="S10" s="209"/>
      <c r="Y10" s="264"/>
      <c r="Z10" s="264"/>
      <c r="AA10" s="264" t="s">
        <v>89</v>
      </c>
      <c r="AB10" s="268">
        <v>6</v>
      </c>
      <c r="AC10" s="268">
        <v>3</v>
      </c>
      <c r="AD10" s="268">
        <v>2</v>
      </c>
      <c r="AE10" s="268">
        <v>1</v>
      </c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</row>
    <row r="11" spans="1:37" ht="12.75">
      <c r="A11" s="217" t="s">
        <v>59</v>
      </c>
      <c r="B11" s="248">
        <v>3</v>
      </c>
      <c r="C11" s="250" t="str">
        <f>IF($B11="","",VLOOKUP($B11,'60elő'!$A$7:$O$22,5))</f>
        <v>580820</v>
      </c>
      <c r="D11" s="250">
        <f>IF($B11="","",VLOOKUP($B11,'60elő'!$A$7:$O$22,15))</f>
        <v>0</v>
      </c>
      <c r="E11" s="318" t="str">
        <f>UPPER(IF($B11="","",VLOOKUP($B11,'60elő'!$A$7:$O$22,2)))</f>
        <v>BOGÁR SZABÓ</v>
      </c>
      <c r="F11" s="318"/>
      <c r="G11" s="318" t="str">
        <f>IF($B11="","",VLOOKUP($B11,'60elő'!$A$7:$O$22,3))</f>
        <v>Éva</v>
      </c>
      <c r="H11" s="318"/>
      <c r="I11" s="251">
        <f>IF($B11="","",VLOOKUP($B11,'60elő'!$A$7:$O$22,4))</f>
        <v>0</v>
      </c>
      <c r="J11" s="193"/>
      <c r="K11" s="330" t="s">
        <v>172</v>
      </c>
      <c r="L11" s="327">
        <v>200</v>
      </c>
      <c r="M11" s="272"/>
      <c r="N11" s="209"/>
      <c r="O11" s="209"/>
      <c r="P11" s="209"/>
      <c r="Q11" s="209"/>
      <c r="R11" s="209"/>
      <c r="S11" s="209"/>
      <c r="Y11" s="264"/>
      <c r="Z11" s="264"/>
      <c r="AA11" s="264" t="s">
        <v>94</v>
      </c>
      <c r="AB11" s="268">
        <v>3</v>
      </c>
      <c r="AC11" s="268">
        <v>2</v>
      </c>
      <c r="AD11" s="268">
        <v>1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</row>
    <row r="12" spans="1:37" ht="12.75">
      <c r="A12" s="217"/>
      <c r="B12" s="249"/>
      <c r="C12" s="252"/>
      <c r="D12" s="252"/>
      <c r="E12" s="252"/>
      <c r="F12" s="252"/>
      <c r="G12" s="252"/>
      <c r="H12" s="252"/>
      <c r="I12" s="252"/>
      <c r="J12" s="193"/>
      <c r="K12" s="246"/>
      <c r="L12" s="329"/>
      <c r="M12" s="274"/>
      <c r="Y12" s="264"/>
      <c r="Z12" s="264"/>
      <c r="AA12" s="264" t="s">
        <v>90</v>
      </c>
      <c r="AB12" s="269">
        <v>0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0</v>
      </c>
      <c r="AJ12" s="269">
        <v>0</v>
      </c>
      <c r="AK12" s="269">
        <v>0</v>
      </c>
    </row>
    <row r="13" spans="1:37" ht="12.75">
      <c r="A13" s="217" t="s">
        <v>64</v>
      </c>
      <c r="B13" s="248">
        <v>4</v>
      </c>
      <c r="C13" s="250" t="str">
        <f>IF($B13="","",VLOOKUP($B13,'60elő'!$A$7:$O$22,5))</f>
        <v>600101</v>
      </c>
      <c r="D13" s="250">
        <f>IF($B13="","",VLOOKUP($B13,'60elő'!$A$7:$O$22,15))</f>
        <v>0</v>
      </c>
      <c r="E13" s="318" t="str">
        <f>UPPER(IF($B13="","",VLOOKUP($B13,'60elő'!$A$7:$O$22,2)))</f>
        <v>BOJTOR</v>
      </c>
      <c r="F13" s="318"/>
      <c r="G13" s="318" t="str">
        <f>IF($B13="","",VLOOKUP($B13,'60elő'!$A$7:$O$22,3))</f>
        <v>Ildikó</v>
      </c>
      <c r="H13" s="318"/>
      <c r="I13" s="251">
        <f>IF($B13="","",VLOOKUP($B13,'60elő'!$A$7:$O$22,4))</f>
        <v>0</v>
      </c>
      <c r="J13" s="193"/>
      <c r="K13" s="330" t="s">
        <v>173</v>
      </c>
      <c r="L13" s="327">
        <v>140</v>
      </c>
      <c r="M13" s="272"/>
      <c r="Y13" s="264"/>
      <c r="Z13" s="264"/>
      <c r="AA13" s="264" t="s">
        <v>91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ht="12.75">
      <c r="A16" s="193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193"/>
      <c r="Y16" s="264"/>
      <c r="Z16" s="264"/>
      <c r="AA16" s="264" t="s">
        <v>57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ht="12.75">
      <c r="A17" s="193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193"/>
      <c r="Y17" s="264"/>
      <c r="Z17" s="264"/>
      <c r="AA17" s="264" t="s">
        <v>82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>
      <c r="A18" s="193"/>
      <c r="B18" s="319"/>
      <c r="C18" s="319"/>
      <c r="D18" s="312" t="str">
        <f>E7</f>
        <v>NÁDORI</v>
      </c>
      <c r="E18" s="312"/>
      <c r="F18" s="312" t="str">
        <f>E9</f>
        <v>BOROS</v>
      </c>
      <c r="G18" s="312"/>
      <c r="H18" s="312" t="str">
        <f>E11</f>
        <v>BOGÁR SZABÓ</v>
      </c>
      <c r="I18" s="312"/>
      <c r="J18" s="312" t="str">
        <f>E13</f>
        <v>BOJTOR</v>
      </c>
      <c r="K18" s="312"/>
      <c r="L18" s="310"/>
      <c r="M18" s="193"/>
      <c r="Y18" s="264"/>
      <c r="Z18" s="264"/>
      <c r="AA18" s="264" t="s">
        <v>83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>
      <c r="A19" s="253" t="s">
        <v>57</v>
      </c>
      <c r="B19" s="315" t="str">
        <f>E7</f>
        <v>NÁDORI</v>
      </c>
      <c r="C19" s="315"/>
      <c r="D19" s="313"/>
      <c r="E19" s="313"/>
      <c r="F19" s="314" t="s">
        <v>165</v>
      </c>
      <c r="G19" s="314"/>
      <c r="H19" s="314" t="s">
        <v>165</v>
      </c>
      <c r="I19" s="314"/>
      <c r="J19" s="312" t="s">
        <v>165</v>
      </c>
      <c r="K19" s="312"/>
      <c r="L19" s="310"/>
      <c r="M19" s="193"/>
      <c r="Y19" s="264"/>
      <c r="Z19" s="264"/>
      <c r="AA19" s="264" t="s">
        <v>84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>
      <c r="A20" s="253" t="s">
        <v>58</v>
      </c>
      <c r="B20" s="315" t="str">
        <f>E9</f>
        <v>BOROS</v>
      </c>
      <c r="C20" s="315"/>
      <c r="D20" s="314" t="s">
        <v>165</v>
      </c>
      <c r="E20" s="314"/>
      <c r="F20" s="313"/>
      <c r="G20" s="313"/>
      <c r="H20" s="314" t="s">
        <v>156</v>
      </c>
      <c r="I20" s="314"/>
      <c r="J20" s="314" t="s">
        <v>156</v>
      </c>
      <c r="K20" s="314"/>
      <c r="L20" s="310"/>
      <c r="M20" s="193"/>
      <c r="Y20" s="264"/>
      <c r="Z20" s="264"/>
      <c r="AA20" s="264" t="s">
        <v>85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>
      <c r="A21" s="253" t="s">
        <v>59</v>
      </c>
      <c r="B21" s="315" t="str">
        <f>E11</f>
        <v>BOGÁR SZABÓ</v>
      </c>
      <c r="C21" s="315"/>
      <c r="D21" s="314" t="s">
        <v>165</v>
      </c>
      <c r="E21" s="314"/>
      <c r="F21" s="314" t="s">
        <v>155</v>
      </c>
      <c r="G21" s="314"/>
      <c r="H21" s="313"/>
      <c r="I21" s="313"/>
      <c r="J21" s="314" t="s">
        <v>152</v>
      </c>
      <c r="K21" s="314"/>
      <c r="L21" s="310"/>
      <c r="M21" s="193"/>
      <c r="Y21" s="264"/>
      <c r="Z21" s="264"/>
      <c r="AA21" s="264" t="s">
        <v>86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>
      <c r="A22" s="253" t="s">
        <v>64</v>
      </c>
      <c r="B22" s="315" t="str">
        <f>E13</f>
        <v>BOJTOR</v>
      </c>
      <c r="C22" s="315"/>
      <c r="D22" s="314" t="s">
        <v>165</v>
      </c>
      <c r="E22" s="314"/>
      <c r="F22" s="314" t="s">
        <v>155</v>
      </c>
      <c r="G22" s="314"/>
      <c r="H22" s="312" t="s">
        <v>153</v>
      </c>
      <c r="I22" s="312"/>
      <c r="J22" s="313"/>
      <c r="K22" s="313"/>
      <c r="L22" s="310"/>
      <c r="M22" s="193"/>
      <c r="Y22" s="264"/>
      <c r="Z22" s="264"/>
      <c r="AA22" s="264" t="s">
        <v>87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2.75">
      <c r="A23" s="193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193"/>
      <c r="Y23" s="264"/>
      <c r="Z23" s="264"/>
      <c r="AA23" s="264" t="s">
        <v>88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ht="12.75">
      <c r="A24" s="193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193"/>
      <c r="Y24" s="264"/>
      <c r="Z24" s="264"/>
      <c r="AA24" s="264" t="s">
        <v>89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4"/>
      <c r="Z25" s="264"/>
      <c r="AA25" s="264" t="s">
        <v>94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4"/>
      <c r="Z26" s="264"/>
      <c r="AA26" s="264" t="s">
        <v>90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4"/>
      <c r="Z27" s="264"/>
      <c r="AA27" s="264" t="s">
        <v>91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9"/>
      <c r="P32" s="209"/>
      <c r="Q32" s="209"/>
      <c r="R32" s="209"/>
      <c r="S32" s="209"/>
    </row>
    <row r="33" spans="1:19" ht="12.75">
      <c r="A33" s="110" t="s">
        <v>38</v>
      </c>
      <c r="B33" s="111"/>
      <c r="C33" s="165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9"/>
      <c r="J33" s="226" t="s">
        <v>50</v>
      </c>
      <c r="K33" s="118" t="s">
        <v>51</v>
      </c>
      <c r="L33" s="31"/>
      <c r="M33" s="244"/>
      <c r="O33" s="209"/>
      <c r="P33" s="219"/>
      <c r="Q33" s="219"/>
      <c r="R33" s="220"/>
      <c r="S33" s="209"/>
    </row>
    <row r="34" spans="1:19" ht="12.75">
      <c r="A34" s="196" t="s">
        <v>39</v>
      </c>
      <c r="B34" s="197"/>
      <c r="C34" s="198"/>
      <c r="D34" s="227"/>
      <c r="E34" s="316"/>
      <c r="F34" s="316"/>
      <c r="G34" s="238" t="s">
        <v>3</v>
      </c>
      <c r="H34" s="197"/>
      <c r="I34" s="228"/>
      <c r="J34" s="239"/>
      <c r="K34" s="194" t="s">
        <v>41</v>
      </c>
      <c r="L34" s="245"/>
      <c r="M34" s="229"/>
      <c r="O34" s="209"/>
      <c r="P34" s="221"/>
      <c r="Q34" s="221"/>
      <c r="R34" s="222"/>
      <c r="S34" s="209"/>
    </row>
    <row r="35" spans="1:19" ht="12.75">
      <c r="A35" s="199" t="s">
        <v>48</v>
      </c>
      <c r="B35" s="117"/>
      <c r="C35" s="200"/>
      <c r="D35" s="230"/>
      <c r="E35" s="317"/>
      <c r="F35" s="317"/>
      <c r="G35" s="240" t="s">
        <v>4</v>
      </c>
      <c r="H35" s="231"/>
      <c r="I35" s="232"/>
      <c r="J35" s="82"/>
      <c r="K35" s="242"/>
      <c r="L35" s="192"/>
      <c r="M35" s="237"/>
      <c r="O35" s="209"/>
      <c r="P35" s="222"/>
      <c r="Q35" s="223"/>
      <c r="R35" s="222"/>
      <c r="S35" s="209"/>
    </row>
    <row r="36" spans="1:19" ht="12.75">
      <c r="A36" s="132"/>
      <c r="B36" s="133"/>
      <c r="C36" s="134"/>
      <c r="D36" s="230"/>
      <c r="E36" s="234"/>
      <c r="F36" s="235"/>
      <c r="G36" s="240" t="s">
        <v>5</v>
      </c>
      <c r="H36" s="231"/>
      <c r="I36" s="232"/>
      <c r="J36" s="82"/>
      <c r="K36" s="194" t="s">
        <v>42</v>
      </c>
      <c r="L36" s="245"/>
      <c r="M36" s="229"/>
      <c r="O36" s="209"/>
      <c r="P36" s="221"/>
      <c r="Q36" s="221"/>
      <c r="R36" s="222"/>
      <c r="S36" s="209"/>
    </row>
    <row r="37" spans="1:19" ht="12.75">
      <c r="A37" s="112"/>
      <c r="B37" s="163"/>
      <c r="C37" s="113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09"/>
      <c r="P37" s="222"/>
      <c r="Q37" s="223"/>
      <c r="R37" s="222"/>
      <c r="S37" s="209"/>
    </row>
    <row r="38" spans="1:19" ht="12.75">
      <c r="A38" s="121"/>
      <c r="B38" s="135"/>
      <c r="C38" s="164"/>
      <c r="D38" s="230"/>
      <c r="E38" s="234"/>
      <c r="F38" s="235"/>
      <c r="G38" s="240" t="s">
        <v>7</v>
      </c>
      <c r="H38" s="231"/>
      <c r="I38" s="232"/>
      <c r="J38" s="82"/>
      <c r="K38" s="199"/>
      <c r="L38" s="192"/>
      <c r="M38" s="237"/>
      <c r="O38" s="209"/>
      <c r="P38" s="222"/>
      <c r="Q38" s="223"/>
      <c r="R38" s="222"/>
      <c r="S38" s="209"/>
    </row>
    <row r="39" spans="1:19" ht="12.75">
      <c r="A39" s="122"/>
      <c r="B39" s="138"/>
      <c r="C39" s="113"/>
      <c r="D39" s="230"/>
      <c r="E39" s="234"/>
      <c r="F39" s="235"/>
      <c r="G39" s="240" t="s">
        <v>8</v>
      </c>
      <c r="H39" s="231"/>
      <c r="I39" s="232"/>
      <c r="J39" s="82"/>
      <c r="K39" s="194" t="s">
        <v>31</v>
      </c>
      <c r="L39" s="245"/>
      <c r="M39" s="229"/>
      <c r="O39" s="209"/>
      <c r="P39" s="221"/>
      <c r="Q39" s="221"/>
      <c r="R39" s="222"/>
      <c r="S39" s="209"/>
    </row>
    <row r="40" spans="1:19" ht="12.75">
      <c r="A40" s="122"/>
      <c r="B40" s="138"/>
      <c r="C40" s="130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09"/>
      <c r="P40" s="222"/>
      <c r="Q40" s="223"/>
      <c r="R40" s="222"/>
      <c r="S40" s="209"/>
    </row>
    <row r="41" spans="1:19" ht="12.75">
      <c r="A41" s="123"/>
      <c r="B41" s="120"/>
      <c r="C41" s="131"/>
      <c r="D41" s="236"/>
      <c r="E41" s="114"/>
      <c r="F41" s="192"/>
      <c r="G41" s="241" t="s">
        <v>10</v>
      </c>
      <c r="H41" s="117"/>
      <c r="I41" s="195"/>
      <c r="J41" s="115"/>
      <c r="K41" s="199" t="str">
        <f>M4</f>
        <v>Kádár László</v>
      </c>
      <c r="L41" s="192"/>
      <c r="M41" s="237"/>
      <c r="O41" s="209"/>
      <c r="P41" s="222"/>
      <c r="Q41" s="223"/>
      <c r="R41" s="224"/>
      <c r="S41" s="209"/>
    </row>
    <row r="42" spans="15:19" ht="12.75">
      <c r="O42" s="209"/>
      <c r="P42" s="209"/>
      <c r="Q42" s="209"/>
      <c r="R42" s="209"/>
      <c r="S42" s="209"/>
    </row>
    <row r="43" spans="15:19" ht="12.75">
      <c r="O43" s="209"/>
      <c r="P43" s="209"/>
      <c r="Q43" s="209"/>
      <c r="R43" s="209"/>
      <c r="S43" s="209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7" sqref="B7:H9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9" customWidth="1"/>
    <col min="5" max="5" width="12.140625" style="292" customWidth="1"/>
    <col min="6" max="6" width="6.140625" style="88" hidden="1" customWidth="1"/>
    <col min="7" max="7" width="31.4218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Budapest Város Szenior Bajnokság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05" t="str">
        <f>Altalanos!$D$8</f>
        <v>Női 70+</v>
      </c>
      <c r="D2" s="99"/>
      <c r="E2" s="159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7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4" t="s">
        <v>28</v>
      </c>
      <c r="I4" s="289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2020.07.10-12.</v>
      </c>
      <c r="B5" s="153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5"/>
      <c r="J5" s="106"/>
      <c r="K5" s="81"/>
      <c r="L5" s="81"/>
      <c r="M5" s="81"/>
      <c r="N5" s="106"/>
      <c r="O5" s="87"/>
      <c r="P5" s="87"/>
      <c r="Q5" s="298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85" t="s">
        <v>35</v>
      </c>
      <c r="I6" s="286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121</v>
      </c>
      <c r="C7" s="90" t="s">
        <v>122</v>
      </c>
      <c r="D7" s="91"/>
      <c r="E7" s="162" t="s">
        <v>123</v>
      </c>
      <c r="F7" s="107"/>
      <c r="G7" s="107"/>
      <c r="H7" s="91">
        <v>70</v>
      </c>
      <c r="I7" s="91"/>
      <c r="J7" s="144"/>
      <c r="K7" s="142"/>
      <c r="L7" s="146"/>
      <c r="M7" s="142"/>
      <c r="N7" s="137"/>
      <c r="O7" s="302"/>
      <c r="P7" s="108"/>
      <c r="Q7" s="92"/>
    </row>
    <row r="8" spans="1:17" s="11" customFormat="1" ht="18.75" customHeight="1">
      <c r="A8" s="147">
        <v>2</v>
      </c>
      <c r="B8" s="90" t="s">
        <v>137</v>
      </c>
      <c r="C8" s="90" t="s">
        <v>138</v>
      </c>
      <c r="D8" s="91"/>
      <c r="E8" s="162" t="s">
        <v>139</v>
      </c>
      <c r="F8" s="107"/>
      <c r="G8" s="107"/>
      <c r="H8" s="91">
        <v>70</v>
      </c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128</v>
      </c>
      <c r="C9" s="90" t="s">
        <v>129</v>
      </c>
      <c r="D9" s="91"/>
      <c r="E9" s="162" t="s">
        <v>130</v>
      </c>
      <c r="F9" s="107"/>
      <c r="G9" s="107"/>
      <c r="H9" s="91">
        <v>75</v>
      </c>
      <c r="I9" s="91"/>
      <c r="J9" s="144"/>
      <c r="K9" s="142"/>
      <c r="L9" s="146"/>
      <c r="M9" s="142"/>
      <c r="N9" s="137"/>
      <c r="O9" s="91"/>
      <c r="P9" s="291"/>
      <c r="Q9" s="167"/>
    </row>
    <row r="10" spans="1:17" s="11" customFormat="1" ht="18.75" customHeight="1">
      <c r="A10" s="147">
        <v>4</v>
      </c>
      <c r="B10" s="90"/>
      <c r="C10" s="90"/>
      <c r="D10" s="91"/>
      <c r="E10" s="162"/>
      <c r="F10" s="280"/>
      <c r="G10" s="281"/>
      <c r="H10" s="91"/>
      <c r="I10" s="91"/>
      <c r="J10" s="144"/>
      <c r="K10" s="142"/>
      <c r="L10" s="146"/>
      <c r="M10" s="142"/>
      <c r="N10" s="137"/>
      <c r="O10" s="91"/>
      <c r="P10" s="290"/>
      <c r="Q10" s="287"/>
    </row>
    <row r="11" spans="1:17" s="11" customFormat="1" ht="18.75" customHeight="1">
      <c r="A11" s="147">
        <v>5</v>
      </c>
      <c r="B11" s="90"/>
      <c r="C11" s="90"/>
      <c r="D11" s="91"/>
      <c r="E11" s="162"/>
      <c r="F11" s="280"/>
      <c r="G11" s="281"/>
      <c r="H11" s="91"/>
      <c r="I11" s="91"/>
      <c r="J11" s="144"/>
      <c r="K11" s="142"/>
      <c r="L11" s="146"/>
      <c r="M11" s="142"/>
      <c r="N11" s="137"/>
      <c r="O11" s="91"/>
      <c r="P11" s="290"/>
      <c r="Q11" s="287"/>
    </row>
    <row r="12" spans="1:17" s="11" customFormat="1" ht="18.75" customHeight="1">
      <c r="A12" s="147">
        <v>6</v>
      </c>
      <c r="B12" s="90"/>
      <c r="C12" s="90"/>
      <c r="D12" s="91"/>
      <c r="E12" s="162"/>
      <c r="F12" s="280"/>
      <c r="G12" s="281"/>
      <c r="H12" s="91"/>
      <c r="I12" s="91"/>
      <c r="J12" s="144"/>
      <c r="K12" s="142"/>
      <c r="L12" s="146"/>
      <c r="M12" s="142"/>
      <c r="N12" s="137"/>
      <c r="O12" s="91"/>
      <c r="P12" s="290"/>
      <c r="Q12" s="287"/>
    </row>
    <row r="13" spans="1:17" s="11" customFormat="1" ht="18.75" customHeight="1">
      <c r="A13" s="147">
        <v>7</v>
      </c>
      <c r="B13" s="90"/>
      <c r="C13" s="90"/>
      <c r="D13" s="91"/>
      <c r="E13" s="162"/>
      <c r="F13" s="280"/>
      <c r="G13" s="281"/>
      <c r="H13" s="91"/>
      <c r="I13" s="91"/>
      <c r="J13" s="144"/>
      <c r="K13" s="142"/>
      <c r="L13" s="146"/>
      <c r="M13" s="142"/>
      <c r="N13" s="137"/>
      <c r="O13" s="91"/>
      <c r="P13" s="290"/>
      <c r="Q13" s="287"/>
    </row>
    <row r="14" spans="1:17" s="11" customFormat="1" ht="18.75" customHeight="1">
      <c r="A14" s="147">
        <v>8</v>
      </c>
      <c r="B14" s="90"/>
      <c r="C14" s="90"/>
      <c r="D14" s="91"/>
      <c r="E14" s="162"/>
      <c r="F14" s="280"/>
      <c r="G14" s="281"/>
      <c r="H14" s="91"/>
      <c r="I14" s="91"/>
      <c r="J14" s="144"/>
      <c r="K14" s="142"/>
      <c r="L14" s="146"/>
      <c r="M14" s="142"/>
      <c r="N14" s="137"/>
      <c r="O14" s="91"/>
      <c r="P14" s="290"/>
      <c r="Q14" s="287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01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03"/>
      <c r="F28" s="296"/>
      <c r="G28" s="297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04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3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88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88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88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88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88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88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88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88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88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88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88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88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88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88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88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88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88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88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88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88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88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88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88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88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88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88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88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88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88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88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88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88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88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88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88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88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88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88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88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88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88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88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88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88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88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88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88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88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88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88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88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88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88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88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88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88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88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88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88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88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88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88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88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88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88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88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88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88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88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88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88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88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88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88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88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88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88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88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88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88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88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88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88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88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88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88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88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88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88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88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88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88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88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88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88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88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88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88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88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88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88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88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88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88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88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88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88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88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88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88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88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88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88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88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88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88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88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88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88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32" dxfId="5" stopIfTrue="1">
      <formula>AND(ROUNDDOWN(($A$4-E7)/365.25,0)&lt;=13,G7&lt;&gt;"OK")</formula>
    </cfRule>
    <cfRule type="expression" priority="33" dxfId="4" stopIfTrue="1">
      <formula>AND(ROUNDDOWN(($A$4-E7)/365.25,0)&lt;=14,G7&lt;&gt;"OK")</formula>
    </cfRule>
    <cfRule type="expression" priority="34" dxfId="3" stopIfTrue="1">
      <formula>AND(ROUNDDOWN(($A$4-E7)/365.25,0)&lt;=17,G7&lt;&gt;"OK")</formula>
    </cfRule>
  </conditionalFormatting>
  <conditionalFormatting sqref="J7:J156">
    <cfRule type="cellIs" priority="31" dxfId="27" operator="equal" stopIfTrue="1">
      <formula>"Z"</formula>
    </cfRule>
  </conditionalFormatting>
  <conditionalFormatting sqref="A7:D156">
    <cfRule type="expression" priority="30" dxfId="2" stopIfTrue="1">
      <formula>$Q7&gt;=1</formula>
    </cfRule>
  </conditionalFormatting>
  <conditionalFormatting sqref="E7:E14">
    <cfRule type="expression" priority="27" dxfId="5" stopIfTrue="1">
      <formula>AND(ROUNDDOWN(($A$4-E7)/365.25,0)&lt;=13,G7&lt;&gt;"OK")</formula>
    </cfRule>
    <cfRule type="expression" priority="28" dxfId="4" stopIfTrue="1">
      <formula>AND(ROUNDDOWN(($A$4-E7)/365.25,0)&lt;=14,G7&lt;&gt;"OK")</formula>
    </cfRule>
    <cfRule type="expression" priority="29" dxfId="3" stopIfTrue="1">
      <formula>AND(ROUNDDOWN(($A$4-E7)/365.25,0)&lt;=17,G7&lt;&gt;"OK")</formula>
    </cfRule>
  </conditionalFormatting>
  <conditionalFormatting sqref="J7:J14">
    <cfRule type="cellIs" priority="26" dxfId="27" operator="equal" stopIfTrue="1">
      <formula>"Z"</formula>
    </cfRule>
  </conditionalFormatting>
  <conditionalFormatting sqref="B7:D14">
    <cfRule type="expression" priority="25" dxfId="2" stopIfTrue="1">
      <formula>$Q7&gt;=1</formula>
    </cfRule>
  </conditionalFormatting>
  <conditionalFormatting sqref="E7:E14">
    <cfRule type="expression" priority="22" dxfId="5" stopIfTrue="1">
      <formula>AND(ROUNDDOWN(($A$4-E7)/365.25,0)&lt;=13,G7&lt;&gt;"OK")</formula>
    </cfRule>
    <cfRule type="expression" priority="23" dxfId="4" stopIfTrue="1">
      <formula>AND(ROUNDDOWN(($A$4-E7)/365.25,0)&lt;=14,G7&lt;&gt;"OK")</formula>
    </cfRule>
    <cfRule type="expression" priority="24" dxfId="3" stopIfTrue="1">
      <formula>AND(ROUNDDOWN(($A$4-E7)/365.25,0)&lt;=17,G7&lt;&gt;"OK")</formula>
    </cfRule>
  </conditionalFormatting>
  <conditionalFormatting sqref="B7:D14">
    <cfRule type="expression" priority="21" dxfId="2" stopIfTrue="1">
      <formula>$Q7&gt;=1</formula>
    </cfRule>
  </conditionalFormatting>
  <conditionalFormatting sqref="E7:E27 E29:E37">
    <cfRule type="expression" priority="18" dxfId="5" stopIfTrue="1">
      <formula>AND(ROUNDDOWN(($A$4-E7)/365.25,0)&lt;=13,G7&lt;&gt;"OK")</formula>
    </cfRule>
    <cfRule type="expression" priority="19" dxfId="4" stopIfTrue="1">
      <formula>AND(ROUNDDOWN(($A$4-E7)/365.25,0)&lt;=14,G7&lt;&gt;"OK")</formula>
    </cfRule>
    <cfRule type="expression" priority="20" dxfId="3" stopIfTrue="1">
      <formula>AND(ROUNDDOWN(($A$4-E7)/365.25,0)&lt;=17,G7&lt;&gt;"OK")</formula>
    </cfRule>
  </conditionalFormatting>
  <conditionalFormatting sqref="B7:D37">
    <cfRule type="expression" priority="17" dxfId="2" stopIfTrue="1">
      <formula>$Q7&gt;=1</formula>
    </cfRule>
  </conditionalFormatting>
  <conditionalFormatting sqref="E7:E9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B7:D9">
    <cfRule type="expression" priority="13" dxfId="2" stopIfTrue="1">
      <formula>$Q7&gt;=1</formula>
    </cfRule>
  </conditionalFormatting>
  <conditionalFormatting sqref="E7:E9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9">
    <cfRule type="expression" priority="9" dxfId="2" stopIfTrue="1">
      <formula>$Q7&gt;=1</formula>
    </cfRule>
  </conditionalFormatting>
  <conditionalFormatting sqref="E7:E9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9">
    <cfRule type="expression" priority="5" dxfId="2" stopIfTrue="1">
      <formula>$Q7&gt;=1</formula>
    </cfRule>
  </conditionalFormatting>
  <conditionalFormatting sqref="E7:E9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9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2020-08-10T19:56:22Z</dcterms:modified>
  <cp:category>Forms</cp:category>
  <cp:version/>
  <cp:contentType/>
  <cp:contentStatus/>
</cp:coreProperties>
</file>